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firstSheet="3" activeTab="3"/>
  </bookViews>
  <sheets>
    <sheet name="Sheet2" sheetId="2" state="hidden" r:id="rId1"/>
    <sheet name="Sheet2 (2)" sheetId="5" state="hidden" r:id="rId2"/>
    <sheet name="测试记录（疑似受2T4效果污染）" sheetId="6" state="hidden" r:id="rId3"/>
    <sheet name="模拟页面" sheetId="8" r:id="rId4"/>
    <sheet name="新测试记录" sheetId="7" state="hidden" r:id="rId5"/>
  </sheets>
  <calcPr calcId="144525"/>
</workbook>
</file>

<file path=xl/comments1.xml><?xml version="1.0" encoding="utf-8"?>
<comments xmlns="http://schemas.openxmlformats.org/spreadsheetml/2006/main">
  <authors>
    <author>JiangShengChao</author>
  </authors>
  <commentList>
    <comment ref="D1" authorId="0">
      <text>
        <r>
          <rPr>
            <sz val="9"/>
            <rFont val="宋体"/>
            <charset val="134"/>
          </rPr>
          <t xml:space="preserve">15.8命中等级=1%命中
只有在【攻击必定命中】选项选择【否】才会参与计算。
</t>
        </r>
      </text>
    </comment>
    <comment ref="G1" authorId="0">
      <text>
        <r>
          <rPr>
            <sz val="9"/>
            <rFont val="宋体"/>
            <charset val="134"/>
          </rPr>
          <t xml:space="preserve">提高3%命中和3%法术命中
只有在【攻击必定命中选项选择【否】才会参与计算。
</t>
        </r>
      </text>
    </comment>
    <comment ref="I1" authorId="0">
      <text>
        <r>
          <rPr>
            <sz val="9"/>
            <rFont val="宋体"/>
            <charset val="134"/>
          </rPr>
          <t>每3分钟的前20秒伤害提高30%。
（就是前20秒伤害提高30%）</t>
        </r>
      </text>
    </comment>
    <comment ref="L1" authorId="0">
      <text>
        <r>
          <rPr>
            <sz val="9"/>
            <rFont val="宋体"/>
            <charset val="134"/>
          </rPr>
          <t>神圣法术伤害提高90点</t>
        </r>
      </text>
    </comment>
    <comment ref="O1" authorId="0">
      <text>
        <r>
          <rPr>
            <sz val="9"/>
            <rFont val="宋体"/>
            <charset val="134"/>
          </rPr>
          <t>未参与计算，无效項。</t>
        </r>
      </text>
    </comment>
    <comment ref="D2" authorId="0">
      <text>
        <r>
          <rPr>
            <sz val="9"/>
            <rFont val="宋体"/>
            <charset val="134"/>
          </rPr>
          <t xml:space="preserve">3.9精准等级=正面减少0.25%几率躲闪,减少0.25%几率招架
只有在【攻击必定命中】选项选择【否】才会参与计算。
</t>
        </r>
      </text>
    </comment>
    <comment ref="G2" authorId="0">
      <text>
        <r>
          <rPr>
            <sz val="9"/>
            <rFont val="宋体"/>
            <charset val="134"/>
          </rPr>
          <t xml:space="preserve">提高5点精准等级
只有在【攻击必定命中】选项选择【否】才会参与计算。
</t>
        </r>
      </text>
    </comment>
    <comment ref="I2" authorId="0">
      <text>
        <r>
          <rPr>
            <sz val="9"/>
            <rFont val="宋体"/>
            <charset val="134"/>
          </rPr>
          <t>审判冷却时间减少1/2秒</t>
        </r>
      </text>
    </comment>
    <comment ref="L2" authorId="0">
      <text>
        <r>
          <rPr>
            <sz val="9"/>
            <rFont val="宋体"/>
            <charset val="134"/>
          </rPr>
          <t>法术伤害提高42点</t>
        </r>
      </text>
    </comment>
    <comment ref="O2" authorId="0">
      <text>
        <r>
          <rPr>
            <sz val="9"/>
            <rFont val="宋体"/>
            <charset val="134"/>
          </rPr>
          <t>此项为【是】，则视为平砍及审判一定命中；
此项为【否】，则考虑平砍未命中及目标躲闪、招架对圣印伤害带来的影响以及审判未命中的影响；
只有在此项为【否】的情况下，前面目标等级、命中等级、精准等级以及一系列的天赋和种族天赋影响因素才会参与计算，否则都可以视为无效項。</t>
        </r>
      </text>
    </comment>
    <comment ref="A3" authorId="0">
      <text>
        <r>
          <rPr>
            <sz val="9"/>
            <rFont val="宋体"/>
            <charset val="134"/>
          </rPr>
          <t>只有在【攻击必定命中】选项选择【否】才会参与计算。</t>
        </r>
      </text>
    </comment>
    <comment ref="D3" authorId="0">
      <text>
        <r>
          <rPr>
            <sz val="9"/>
            <rFont val="宋体"/>
            <charset val="134"/>
          </rPr>
          <t xml:space="preserve">7.8精准等级=正面减少0.5%几率躲闪,减少0.5%几率招架
只有在【攻击必定命中】选项选择【否】才会参与计算。
</t>
        </r>
      </text>
    </comment>
    <comment ref="G3" authorId="0">
      <text>
        <r>
          <rPr>
            <sz val="9"/>
            <rFont val="宋体"/>
            <charset val="134"/>
          </rPr>
          <t>只有在【攻击必定命中】选项选择【否】才会参与计算。</t>
        </r>
      </text>
    </comment>
    <comment ref="I3" authorId="0">
      <text>
        <r>
          <rPr>
            <sz val="9"/>
            <rFont val="宋体"/>
            <charset val="134"/>
          </rPr>
          <t>全伤害提高1%~5%</t>
        </r>
      </text>
    </comment>
    <comment ref="L3" authorId="0">
      <text>
        <r>
          <rPr>
            <sz val="9"/>
            <rFont val="宋体"/>
            <charset val="134"/>
          </rPr>
          <t>法术伤害提高101点</t>
        </r>
      </text>
    </comment>
  </commentList>
</comments>
</file>

<file path=xl/comments2.xml><?xml version="1.0" encoding="utf-8"?>
<comments xmlns="http://schemas.openxmlformats.org/spreadsheetml/2006/main">
  <authors>
    <author>JiangShengChao</author>
  </authors>
  <commentList>
    <comment ref="D1" authorId="0">
      <text>
        <r>
          <rPr>
            <sz val="9"/>
            <rFont val="宋体"/>
            <charset val="134"/>
          </rPr>
          <t xml:space="preserve">15.8命中等级=1%命中
只有在【攻击必定命中】选项选择【否】才会参与计算。
</t>
        </r>
      </text>
    </comment>
    <comment ref="G1" authorId="0">
      <text>
        <r>
          <rPr>
            <sz val="9"/>
            <rFont val="宋体"/>
            <charset val="134"/>
          </rPr>
          <t xml:space="preserve">提高3%命中和3%法术命中
只有在【攻击必定命中选项选择【否】才会参与计算。
</t>
        </r>
      </text>
    </comment>
    <comment ref="I1" authorId="0">
      <text>
        <r>
          <rPr>
            <sz val="9"/>
            <rFont val="宋体"/>
            <charset val="134"/>
          </rPr>
          <t>每3分钟的前20秒伤害提高30%。
（就是前20秒伤害提高30%）</t>
        </r>
      </text>
    </comment>
    <comment ref="L1" authorId="0">
      <text>
        <r>
          <rPr>
            <sz val="9"/>
            <rFont val="宋体"/>
            <charset val="134"/>
          </rPr>
          <t>神圣法术伤害提高90点</t>
        </r>
      </text>
    </comment>
    <comment ref="O1" authorId="0">
      <text>
        <r>
          <rPr>
            <sz val="9"/>
            <rFont val="宋体"/>
            <charset val="134"/>
          </rPr>
          <t>未参与计算，无效項。</t>
        </r>
      </text>
    </comment>
    <comment ref="D2" authorId="0">
      <text>
        <r>
          <rPr>
            <sz val="9"/>
            <rFont val="宋体"/>
            <charset val="134"/>
          </rPr>
          <t xml:space="preserve">3.9精准等级=正面减少0.25%几率躲闪,减少0.25%几率招架
只有在【攻击必定命中】选项选择【否】才会参与计算。
</t>
        </r>
      </text>
    </comment>
    <comment ref="G2" authorId="0">
      <text>
        <r>
          <rPr>
            <sz val="9"/>
            <rFont val="宋体"/>
            <charset val="134"/>
          </rPr>
          <t xml:space="preserve">提高5点精准等级
只有在【攻击必定命中】选项选择【否】才会参与计算。
</t>
        </r>
      </text>
    </comment>
    <comment ref="I2" authorId="0">
      <text>
        <r>
          <rPr>
            <sz val="9"/>
            <rFont val="宋体"/>
            <charset val="134"/>
          </rPr>
          <t>审判冷却时间减少1/2秒</t>
        </r>
      </text>
    </comment>
    <comment ref="L2" authorId="0">
      <text>
        <r>
          <rPr>
            <sz val="9"/>
            <rFont val="宋体"/>
            <charset val="134"/>
          </rPr>
          <t>法术伤害提高42点</t>
        </r>
      </text>
    </comment>
    <comment ref="O2" authorId="0">
      <text>
        <r>
          <rPr>
            <sz val="9"/>
            <rFont val="宋体"/>
            <charset val="134"/>
          </rPr>
          <t>此项为【是】，则视为平砍及审判一定命中；
此项为【否】，则考虑平砍未命中及目标躲闪、招架对圣印伤害带来的影响以及审判未命中的影响；
只有在此项为【否】的情况下，前面目标等级、命中等级、精准等级以及一系列的天赋和种族天赋影响因素才会参与计算，否则都可以视为无效項。</t>
        </r>
      </text>
    </comment>
    <comment ref="A3" authorId="0">
      <text>
        <r>
          <rPr>
            <sz val="9"/>
            <rFont val="宋体"/>
            <charset val="134"/>
          </rPr>
          <t>只有在【攻击必定命中】选项选择【否】才会参与计算。</t>
        </r>
      </text>
    </comment>
    <comment ref="D3" authorId="0">
      <text>
        <r>
          <rPr>
            <sz val="9"/>
            <rFont val="宋体"/>
            <charset val="134"/>
          </rPr>
          <t xml:space="preserve">7.8精准等级=正面减少0.5%几率躲闪,减少0.5%几率招架
只有在【攻击必定命中】选项选择【否】才会参与计算。
</t>
        </r>
      </text>
    </comment>
    <comment ref="G3" authorId="0">
      <text>
        <r>
          <rPr>
            <sz val="9"/>
            <rFont val="宋体"/>
            <charset val="134"/>
          </rPr>
          <t>只有在【攻击必定命中】选项选择【否】才会参与计算。</t>
        </r>
      </text>
    </comment>
    <comment ref="I3" authorId="0">
      <text>
        <r>
          <rPr>
            <sz val="9"/>
            <rFont val="宋体"/>
            <charset val="134"/>
          </rPr>
          <t>全伤害提高1%~5%</t>
        </r>
      </text>
    </comment>
    <comment ref="L3" authorId="0">
      <text>
        <r>
          <rPr>
            <sz val="9"/>
            <rFont val="宋体"/>
            <charset val="134"/>
          </rPr>
          <t>法术伤害提高101点</t>
        </r>
      </text>
    </comment>
    <comment ref="O3" authorId="0">
      <text>
        <r>
          <rPr>
            <sz val="9"/>
            <rFont val="宋体"/>
            <charset val="134"/>
          </rPr>
          <t>复仇圣印、正义圣印伤害提高10%</t>
        </r>
      </text>
    </comment>
  </commentList>
</comments>
</file>

<file path=xl/comments3.xml><?xml version="1.0" encoding="utf-8"?>
<comments xmlns="http://schemas.openxmlformats.org/spreadsheetml/2006/main">
  <authors>
    <author>JiangShengChao</author>
  </authors>
  <commentList>
    <comment ref="A1" authorId="0">
      <text>
        <r>
          <rPr>
            <sz val="9"/>
            <rFont val="宋体"/>
            <charset val="134"/>
          </rPr>
          <t>正义圣印基础伤害还与秒伤有关，方便计算，秒伤统一取41.1</t>
        </r>
      </text>
    </comment>
    <comment ref="D1" authorId="0">
      <text>
        <r>
          <rPr>
            <sz val="9"/>
            <rFont val="宋体"/>
            <charset val="134"/>
          </rPr>
          <t xml:space="preserve">15.8命中等级=1%命中
只有在【攻击必定命中】选项选择【否】才会参与计算。
</t>
        </r>
      </text>
    </comment>
    <comment ref="G1" authorId="0">
      <text>
        <r>
          <rPr>
            <sz val="9"/>
            <rFont val="宋体"/>
            <charset val="134"/>
          </rPr>
          <t xml:space="preserve">提高3%命中和3%法术命中
只有在【攻击必定命中选项选择【否】才会参与计算。
</t>
        </r>
      </text>
    </comment>
    <comment ref="I1" authorId="0">
      <text>
        <r>
          <rPr>
            <sz val="9"/>
            <rFont val="宋体"/>
            <charset val="134"/>
          </rPr>
          <t>每3分钟的前20秒伤害提高30%。
（就是前20秒伤害提高30%）</t>
        </r>
      </text>
    </comment>
    <comment ref="L1" authorId="0">
      <text>
        <r>
          <rPr>
            <sz val="9"/>
            <rFont val="宋体"/>
            <charset val="134"/>
          </rPr>
          <t>神圣法术伤害提高90点</t>
        </r>
      </text>
    </comment>
    <comment ref="O1" authorId="0">
      <text>
        <r>
          <rPr>
            <sz val="9"/>
            <rFont val="宋体"/>
            <charset val="134"/>
          </rPr>
          <t>仅考虑最高级（7级）十字军审判的神圣伤害加成数值</t>
        </r>
      </text>
    </comment>
    <comment ref="AD1" authorId="0">
      <text>
        <r>
          <rPr>
            <sz val="9"/>
            <rFont val="宋体"/>
            <charset val="134"/>
          </rPr>
          <t>武器为法伤武器时，圣印法伤加成为9.3%*武器速度；武器为非法伤武器时，圣印法伤加成为8.8%*武器速度。
结论过于诡异，一定是哪里没弄清楚，按9.2%的近似值计算。</t>
        </r>
      </text>
    </comment>
    <comment ref="D2" authorId="0">
      <text>
        <r>
          <rPr>
            <sz val="9"/>
            <rFont val="宋体"/>
            <charset val="134"/>
          </rPr>
          <t xml:space="preserve">3.9精准等级=减少0.25%躲闪和招架几率
只有在【攻击必定命中】选项选择【否】才会参与计算。
</t>
        </r>
      </text>
    </comment>
    <comment ref="G2" authorId="0">
      <text>
        <r>
          <rPr>
            <sz val="9"/>
            <rFont val="宋体"/>
            <charset val="134"/>
          </rPr>
          <t xml:space="preserve">提高5点精准等级
只有在【攻击必定命中】选项选择【否】才会参与计算。
</t>
        </r>
      </text>
    </comment>
    <comment ref="I2" authorId="0">
      <text>
        <r>
          <rPr>
            <sz val="9"/>
            <rFont val="宋体"/>
            <charset val="134"/>
          </rPr>
          <t>审判冷却时间减少1/2秒</t>
        </r>
      </text>
    </comment>
    <comment ref="L2" authorId="0">
      <text>
        <r>
          <rPr>
            <sz val="9"/>
            <rFont val="宋体"/>
            <charset val="134"/>
          </rPr>
          <t>法术伤害提高42点</t>
        </r>
      </text>
    </comment>
    <comment ref="O2" authorId="0">
      <text>
        <r>
          <rPr>
            <sz val="9"/>
            <rFont val="宋体"/>
            <charset val="134"/>
          </rPr>
          <t>此项为【是】，则视为平砍及审判一定命中；
此项为【否】，则考虑平砍未命中及目标躲闪、招架对圣印伤害带来的影响以及审判未命中的影响；
只有在此项为【否】的情况下，前面目标等级、命中等级、精准等级以及一系列的天赋和种族天赋影响因素才会参与计算，否则都可以视为无效項。</t>
        </r>
      </text>
    </comment>
    <comment ref="A3" authorId="0">
      <text>
        <r>
          <rPr>
            <sz val="9"/>
            <rFont val="宋体"/>
            <charset val="134"/>
          </rPr>
          <t>只有在【攻击必定命中】选项选择【否】才会参与计算。</t>
        </r>
      </text>
    </comment>
    <comment ref="D3" authorId="0">
      <text>
        <r>
          <rPr>
            <sz val="9"/>
            <rFont val="宋体"/>
            <charset val="134"/>
          </rPr>
          <t>提高1%命中</t>
        </r>
      </text>
    </comment>
    <comment ref="G3" authorId="0">
      <text>
        <r>
          <rPr>
            <sz val="9"/>
            <rFont val="宋体"/>
            <charset val="134"/>
          </rPr>
          <t>只有在【攻击必定命中】选项选择【否】才会参与计算。</t>
        </r>
      </text>
    </comment>
    <comment ref="I3" authorId="0">
      <text>
        <r>
          <rPr>
            <sz val="9"/>
            <rFont val="宋体"/>
            <charset val="134"/>
          </rPr>
          <t>全伤害提高1%~5%</t>
        </r>
      </text>
    </comment>
    <comment ref="L3" authorId="0">
      <text>
        <r>
          <rPr>
            <sz val="9"/>
            <rFont val="宋体"/>
            <charset val="134"/>
          </rPr>
          <t>法术伤害提高101点</t>
        </r>
      </text>
    </comment>
    <comment ref="O3" authorId="0">
      <text>
        <r>
          <rPr>
            <sz val="9"/>
            <rFont val="宋体"/>
            <charset val="134"/>
          </rPr>
          <t>复仇圣印、正义圣印伤害提高10%</t>
        </r>
      </text>
    </comment>
  </commentList>
</comments>
</file>

<file path=xl/sharedStrings.xml><?xml version="1.0" encoding="utf-8"?>
<sst xmlns="http://schemas.openxmlformats.org/spreadsheetml/2006/main" count="894" uniqueCount="261">
  <si>
    <t>武器速度</t>
  </si>
  <si>
    <t>命中等级</t>
  </si>
  <si>
    <t>精确天赋</t>
  </si>
  <si>
    <t>是</t>
  </si>
  <si>
    <t>施放复仇之怒</t>
  </si>
  <si>
    <t>否</t>
  </si>
  <si>
    <t>盲目光芒合剂</t>
  </si>
  <si>
    <t>十字军审判</t>
  </si>
  <si>
    <t>复仇圣印
临界阈值</t>
  </si>
  <si>
    <t>正义圣印基础伤害</t>
  </si>
  <si>
    <t>正义圣印法伤加成</t>
  </si>
  <si>
    <t>目标躲闪几率</t>
  </si>
  <si>
    <t>法伤强度</t>
  </si>
  <si>
    <t>精准等级</t>
  </si>
  <si>
    <t>战斗精准天赋</t>
  </si>
  <si>
    <t>强化审判天赋
0</t>
  </si>
  <si>
    <t>超级巫师之油</t>
  </si>
  <si>
    <t>攻击必定命中</t>
  </si>
  <si>
    <t>正义审判基础伤害</t>
  </si>
  <si>
    <t>正义审判法伤加成</t>
  </si>
  <si>
    <t>目标招架几率</t>
  </si>
  <si>
    <t>目标等级</t>
  </si>
  <si>
    <t>英雄灵气</t>
  </si>
  <si>
    <t>种族武器专精</t>
  </si>
  <si>
    <t>单手武器专精</t>
  </si>
  <si>
    <t>空气之怒图腾</t>
  </si>
  <si>
    <t>复仇圣印基础伤害</t>
  </si>
  <si>
    <t>复仇圣印法伤加成</t>
  </si>
  <si>
    <t>未命中几率</t>
  </si>
  <si>
    <t>攻击
次数</t>
  </si>
  <si>
    <t>战斗
时间</t>
  </si>
  <si>
    <t>正义圣印
累计伤害</t>
  </si>
  <si>
    <t>复仇圣印
累计伤害</t>
  </si>
  <si>
    <t>复仇审判基础伤害</t>
  </si>
  <si>
    <t>复仇审判法伤加成</t>
  </si>
  <si>
    <t>综合命中率</t>
  </si>
  <si>
    <t>神圣复仇基础伤害</t>
  </si>
  <si>
    <t>神圣复仇法伤加成</t>
  </si>
  <si>
    <t>实际法术伤害</t>
  </si>
  <si>
    <t>复仇圣印触发几率</t>
  </si>
  <si>
    <t>审判冷却时间</t>
  </si>
  <si>
    <t>目标暴击降低</t>
  </si>
  <si>
    <t>正义圣印触发几率</t>
  </si>
  <si>
    <t>审判命中几率</t>
  </si>
  <si>
    <t>目标抗性减免</t>
  </si>
  <si>
    <t>正义圣印实际伤害</t>
  </si>
  <si>
    <t>正义审判实际伤害</t>
  </si>
  <si>
    <t>复仇圣印实际伤害</t>
  </si>
  <si>
    <t>复仇审判实际伤害</t>
  </si>
  <si>
    <t>神圣复仇实际伤害</t>
  </si>
  <si>
    <t>神圣复仇加成伤害</t>
  </si>
  <si>
    <t>复仇圣印可以暴击，神圣复仇不可暴击</t>
  </si>
  <si>
    <t>圣印无抵抗、审判有抵抗</t>
  </si>
  <si>
    <t>第0秒审判不考虑，进战斗审判开始冷却</t>
  </si>
  <si>
    <t>第0秒有一次平砍</t>
  </si>
  <si>
    <t>急速未考虑</t>
  </si>
  <si>
    <t>没有考虑神圣抗性的影响</t>
  </si>
  <si>
    <t>复仇之怒加成</t>
  </si>
  <si>
    <t>上一次攻击层数：</t>
  </si>
  <si>
    <t>当前层数：</t>
  </si>
  <si>
    <t>最高层数</t>
  </si>
  <si>
    <t>生效次数</t>
  </si>
  <si>
    <t>上一次攻击生效次数</t>
  </si>
  <si>
    <t>这次攻击生效次数</t>
  </si>
  <si>
    <t>本次生效伤害</t>
  </si>
  <si>
    <t>2T4套装属性</t>
  </si>
  <si>
    <t>复仇审判为固定43%，和层数无关</t>
  </si>
  <si>
    <t>正义圣印法伤加成约为10.6%*武器速度*法伤</t>
  </si>
  <si>
    <t>正义圣印基础伤害约等于26*武器速度，有未知参数影响</t>
  </si>
  <si>
    <t>复仇圣印加成为武器速度/3.5*4%</t>
  </si>
  <si>
    <t>复仇圣印可以被抵抗</t>
  </si>
  <si>
    <t>神圣复仇约为每层4.7%法伤加成（待复测）</t>
  </si>
  <si>
    <t>神圣复仇可以部分抵抗（或完全抵抗？）</t>
  </si>
  <si>
    <t>正义圣印存在1/4、1/2抵抗</t>
  </si>
  <si>
    <t>400法伤：</t>
  </si>
  <si>
    <t>1.8攻速</t>
  </si>
  <si>
    <t>1层神圣复仇</t>
  </si>
  <si>
    <t>3层神圣复仇</t>
  </si>
  <si>
    <t>4层神圣复仇</t>
  </si>
  <si>
    <t>5层神圣复仇</t>
  </si>
  <si>
    <t>5层复仇审判</t>
  </si>
  <si>
    <t>复仇圣印</t>
  </si>
  <si>
    <t>1层复仇审判</t>
  </si>
  <si>
    <t>0法伤：</t>
  </si>
  <si>
    <t>1.6攻速</t>
  </si>
  <si>
    <t>2层神圣复仇</t>
  </si>
  <si>
    <t>2层复仇审判</t>
  </si>
  <si>
    <t>300法伤</t>
  </si>
  <si>
    <t>2.3攻速</t>
  </si>
  <si>
    <t>3.6攻速</t>
  </si>
  <si>
    <t>88-89</t>
  </si>
  <si>
    <t>176-177</t>
  </si>
  <si>
    <t>原始数值</t>
  </si>
  <si>
    <t>折算后数值</t>
  </si>
  <si>
    <t>26*武器速度</t>
  </si>
  <si>
    <t>0.092*武器速度</t>
  </si>
  <si>
    <t>武器速度/3.5*0.2</t>
  </si>
  <si>
    <t>复仇圣印：</t>
  </si>
  <si>
    <t>正义圣印</t>
  </si>
  <si>
    <t>有单手武器专精</t>
  </si>
  <si>
    <t>101-102</t>
  </si>
  <si>
    <t>正义审判</t>
  </si>
  <si>
    <t>470-488</t>
  </si>
  <si>
    <t>140-141</t>
  </si>
  <si>
    <t>无单手武器专精</t>
  </si>
  <si>
    <t>283-284</t>
  </si>
  <si>
    <t>法伤加成值</t>
  </si>
  <si>
    <t>法伤加成比例</t>
  </si>
  <si>
    <t>0法伤</t>
  </si>
  <si>
    <t>63-64</t>
  </si>
  <si>
    <t>92-93</t>
  </si>
  <si>
    <t>151-152</t>
  </si>
  <si>
    <t>115-116</t>
  </si>
  <si>
    <t>十字军测试</t>
  </si>
  <si>
    <t>10*武器速度</t>
  </si>
  <si>
    <t>武器速度/3.5*0.04</t>
  </si>
  <si>
    <t>1、十字军审判对于神圣复仇为固定7.65点左右，和层数无关（3.x%*219）</t>
  </si>
  <si>
    <t>2、十字军审判对于复仇圣印加成约为武器速度/3.5*8.75</t>
  </si>
  <si>
    <t>3、十字军审判对于复仇审判加成约为单手武器89.524，双手武器94</t>
  </si>
  <si>
    <t>4、复仇圣印四舍五入取整，不是随机进位</t>
  </si>
  <si>
    <t>3层复仇审判</t>
  </si>
  <si>
    <t>验证</t>
  </si>
  <si>
    <t>法伤</t>
  </si>
  <si>
    <t>3.2攻速</t>
  </si>
  <si>
    <t>期望伤害</t>
  </si>
  <si>
    <t>实际伤害</t>
  </si>
  <si>
    <t>正义审判法伤加成为73%</t>
  </si>
  <si>
    <t>正义圣印法伤加成约为11*武器速度</t>
  </si>
  <si>
    <t>1、十字军审判对正义圣印加成疑似为21.25*武器速度</t>
  </si>
  <si>
    <t>2、十字军神判对正义审判加成疑似为153</t>
  </si>
  <si>
    <t>有十字军</t>
  </si>
  <si>
    <t>无十字军</t>
  </si>
  <si>
    <t>期望</t>
  </si>
  <si>
    <t>实际</t>
  </si>
  <si>
    <t>173-174</t>
  </si>
  <si>
    <t>164-165</t>
  </si>
  <si>
    <t>123-124</t>
  </si>
  <si>
    <t>十字军审判加成</t>
  </si>
  <si>
    <t>·正义圣印：基础伤害+法伤*系数</t>
  </si>
  <si>
    <t>·正义审判：基础伤害+法伤*系数</t>
  </si>
  <si>
    <t>·神圣复仇：(基础伤害+法伤*系数)*层数+十字军增伤*3.4%</t>
  </si>
  <si>
    <t>·复仇审判：基础伤害*层数+法伤*系数</t>
  </si>
  <si>
    <t>·复仇圣印：基础伤害+法伤*系数</t>
  </si>
  <si>
    <t>复仇审判加成伤害</t>
  </si>
  <si>
    <t>+AA4*层数</t>
  </si>
  <si>
    <t>神圣复仇法伤伤害</t>
  </si>
  <si>
    <t>·十字军审判：视为增加法伤（神圣复仇除外）</t>
  </si>
  <si>
    <t>神圣复仇十字军伤害</t>
  </si>
  <si>
    <t>·2T4影响神圣复仇和正义圣印，不影响复仇圣印/正义审判/复仇审判</t>
  </si>
  <si>
    <t>全局伤害加成</t>
  </si>
  <si>
    <t>*IF($K$1="是",IF(MOD(时间,360)&lt;=20,1.3,1),1)*(1+$K$3/100)</t>
  </si>
  <si>
    <t>·复仇圣印可以完全抵抗，即使完全抵抗也可以刷新时间</t>
  </si>
  <si>
    <t>·复仇审判可以1/4抵抗</t>
  </si>
  <si>
    <t>·正义圣印可以1/2、1/4抵抗</t>
  </si>
  <si>
    <t>·正义圣印、复仇圣印与武器速度相关；正义审判、复仇审判、神圣复仇和武器速度无关</t>
  </si>
  <si>
    <t>·神圣复仇可以被部分抵抗</t>
  </si>
  <si>
    <t>·复仇圣印可以暴击，神圣复仇不可暴击</t>
  </si>
  <si>
    <t>技能计算公式</t>
  </si>
  <si>
    <t>（25.75+秒伤*0.03）*武器速度+（法伤+十字军加成）*武器速度*9.2%</t>
  </si>
  <si>
    <t>235.5+（法伤+十字军加成）*73%</t>
  </si>
  <si>
    <t>没有考虑暴击率和急速的影响</t>
  </si>
  <si>
    <t>神圣复仇</t>
  </si>
  <si>
    <t>（30+法伤*3.4%）*层数+十字军加成*3.4%</t>
  </si>
  <si>
    <t>没有考虑法术抵抗的影响</t>
  </si>
  <si>
    <t>复仇审判</t>
  </si>
  <si>
    <t>120*层数+（法伤+十字军加成）*43%</t>
  </si>
  <si>
    <t>没有考虑双手武器、没有考虑低级法术</t>
  </si>
  <si>
    <t>10*武器速度+（法伤+十字军加成）*武器速度/3.5*4%</t>
  </si>
  <si>
    <t>伤害类型</t>
  </si>
  <si>
    <t>基础伤害</t>
  </si>
  <si>
    <t>法伤加成</t>
  </si>
  <si>
    <t>（25.75+秒伤*0.03）*武器速度</t>
  </si>
  <si>
    <t>（法伤+十字军）*武器速度*9.2%</t>
  </si>
  <si>
    <t>平均235.5</t>
  </si>
  <si>
    <t>（法伤+十字军）*73%</t>
  </si>
  <si>
    <t>30*层数</t>
  </si>
  <si>
    <t>法伤*层数*3.4%+十字军*3.4%</t>
  </si>
  <si>
    <t>120*层数</t>
  </si>
  <si>
    <t>（法伤+十字军）*43%</t>
  </si>
  <si>
    <t>（法伤+十字军）*武器速度/3.5*4%</t>
  </si>
  <si>
    <t>0.106*武器速度</t>
  </si>
  <si>
    <t>2、十字军神判对正义审判加成为0.73</t>
  </si>
  <si>
    <t>正义圣印新结论：</t>
  </si>
  <si>
    <t>·武器为法伤武器时，圣印法伤加成为9.3%*武器速度；武器为非法伤武器时，圣印法伤加成为8.8%*武器速度</t>
  </si>
  <si>
    <t>·十字军审判对于正义圣印来说可以单纯视为增加了219点（满级）法伤</t>
  </si>
  <si>
    <t>正义圣印研究</t>
  </si>
  <si>
    <t>无装备下各武器速度面板伤害</t>
  </si>
  <si>
    <t>武器秒伤</t>
  </si>
  <si>
    <t>面板伤害</t>
  </si>
  <si>
    <t>面板秒伤</t>
  </si>
  <si>
    <t>45-46</t>
  </si>
  <si>
    <t>49-50</t>
  </si>
  <si>
    <t>60-61</t>
  </si>
  <si>
    <t>62-63</t>
  </si>
  <si>
    <t>优化后伤害</t>
  </si>
  <si>
    <t>200法伤</t>
  </si>
  <si>
    <t>73-74</t>
  </si>
  <si>
    <t>82-83</t>
  </si>
  <si>
    <t>100-101</t>
  </si>
  <si>
    <t>104-105</t>
  </si>
  <si>
    <t>增加的伤害</t>
  </si>
  <si>
    <t>结论：正义圣印法伤加成约为8.75%*武器速度</t>
  </si>
  <si>
    <t>武器速度1.8</t>
  </si>
  <si>
    <t>400法伤</t>
  </si>
  <si>
    <t>500法伤</t>
  </si>
  <si>
    <t>344法伤</t>
  </si>
  <si>
    <t>理论伤害</t>
  </si>
  <si>
    <t>98-99</t>
  </si>
  <si>
    <t>114-115</t>
  </si>
  <si>
    <t>131-132</t>
  </si>
  <si>
    <t>117-118</t>
  </si>
  <si>
    <t>十字军审判研究：（正义审判）</t>
  </si>
  <si>
    <t>满级十字军审判</t>
  </si>
  <si>
    <t>5级十字军审判</t>
  </si>
  <si>
    <t>十字军加成0.7-0.72</t>
  </si>
  <si>
    <t>十字军审判研究：（正义圣印）</t>
  </si>
  <si>
    <t>300法伤套装</t>
  </si>
  <si>
    <t>满级十字军</t>
  </si>
  <si>
    <t>5级十字军</t>
  </si>
  <si>
    <t>133-134</t>
  </si>
  <si>
    <r>
      <rPr>
        <sz val="11"/>
        <color theme="1"/>
        <rFont val="宋体"/>
        <charset val="134"/>
        <scheme val="minor"/>
      </rPr>
      <t>118-</t>
    </r>
    <r>
      <rPr>
        <b/>
        <sz val="11"/>
        <color theme="1"/>
        <rFont val="宋体"/>
        <charset val="134"/>
        <scheme val="minor"/>
      </rPr>
      <t>119</t>
    </r>
  </si>
  <si>
    <t>复仇圣印可以被完全抵抗</t>
  </si>
  <si>
    <t>复仇审判可以1/4抵抗</t>
  </si>
  <si>
    <t>修正系数</t>
  </si>
  <si>
    <t>·复仇圣印即使完全抵抗也可以刷新时间</t>
  </si>
  <si>
    <t>·神圣复仇约为每层3.4%法伤加成</t>
  </si>
  <si>
    <t>·2T4不影响审判伤害</t>
  </si>
  <si>
    <t>·2T4影响神圣复仇，不影响复仇圣印</t>
  </si>
  <si>
    <t>4层复仇审判</t>
  </si>
  <si>
    <t>测试</t>
  </si>
  <si>
    <t>理论数值</t>
  </si>
  <si>
    <t>实际数值</t>
  </si>
  <si>
    <t>除以2T4效果后</t>
  </si>
  <si>
    <t>·十字军神判对于复仇圣印和复仇审判来说可以单纯视为增加了219点法伤</t>
  </si>
  <si>
    <t>·十字军对于神圣复仇的加成为+3.5%*神圣增伤</t>
  </si>
  <si>
    <t>·十字军审判对于神圣复仇为固定7.65点左右，和层数无关（3.x%*219）</t>
  </si>
  <si>
    <t>修整数值</t>
  </si>
  <si>
    <t>十字军审判增加值</t>
  </si>
  <si>
    <t>51-52</t>
  </si>
  <si>
    <t>·法伤对于复仇审判的加成为加法，对于复仇圣印的加成很少，对于神圣复仇的加成还凑活，但是十字军神判对于神圣复仇的加成却很少</t>
  </si>
  <si>
    <t>145-146</t>
  </si>
  <si>
    <t>30-31</t>
  </si>
  <si>
    <t>完美~~</t>
  </si>
  <si>
    <t>正义圣印基础伤害及法伤加成继续研究</t>
  </si>
  <si>
    <t>25.75*武器速度+秒伤*武器速度*0.03</t>
  </si>
  <si>
    <t>COND(EQ(HND,1),0.85*(108*1.2*1.03*MWS/100)+0.03*(MW+mw)/2-1,1.2*(108*1.2*1.03*MWS/100)+0.03*(MW+mw)/2+1)</t>
  </si>
  <si>
    <t>正义圣印基础伤害（单手）</t>
  </si>
  <si>
    <t>秒伤</t>
  </si>
  <si>
    <r>
      <rPr>
        <b/>
        <sz val="11"/>
        <color theme="1"/>
        <rFont val="宋体"/>
        <charset val="134"/>
        <scheme val="minor"/>
      </rPr>
      <t>45</t>
    </r>
    <r>
      <rPr>
        <sz val="11"/>
        <color theme="1"/>
        <rFont val="宋体"/>
        <charset val="134"/>
        <scheme val="minor"/>
      </rPr>
      <t>-46</t>
    </r>
  </si>
  <si>
    <t>57-58</t>
  </si>
  <si>
    <t>修正伤害</t>
  </si>
  <si>
    <t>享受加成17.6*武器速度</t>
  </si>
  <si>
    <r>
      <rPr>
        <sz val="11"/>
        <color theme="1"/>
        <rFont val="宋体"/>
        <charset val="134"/>
        <scheme val="minor"/>
      </rPr>
      <t>100-</t>
    </r>
    <r>
      <rPr>
        <b/>
        <sz val="11"/>
        <color theme="1"/>
        <rFont val="宋体"/>
        <charset val="134"/>
        <scheme val="minor"/>
      </rPr>
      <t>101</t>
    </r>
  </si>
  <si>
    <t>法伤增加值</t>
  </si>
  <si>
    <t>初步结论：正义圣印法伤加成为8.8%*武器速度（非法伤武器）；9.35%*武器速度（非法伤武器）</t>
  </si>
  <si>
    <t>理论基础伤害</t>
  </si>
  <si>
    <r>
      <rPr>
        <sz val="11"/>
        <color theme="1"/>
        <rFont val="宋体"/>
        <charset val="134"/>
        <scheme val="minor"/>
      </rPr>
      <t>131-</t>
    </r>
    <r>
      <rPr>
        <b/>
        <sz val="11"/>
        <color theme="1"/>
        <rFont val="宋体"/>
        <charset val="134"/>
        <scheme val="minor"/>
      </rPr>
      <t>132</t>
    </r>
  </si>
  <si>
    <t>186-187</t>
  </si>
  <si>
    <t>68-69</t>
  </si>
  <si>
    <r>
      <rPr>
        <sz val="11"/>
        <color theme="1"/>
        <rFont val="宋体"/>
        <charset val="134"/>
        <scheme val="minor"/>
      </rPr>
      <t>90-</t>
    </r>
    <r>
      <rPr>
        <b/>
        <sz val="11"/>
        <color theme="1"/>
        <rFont val="宋体"/>
        <charset val="134"/>
        <scheme val="minor"/>
      </rPr>
      <t>91</t>
    </r>
  </si>
  <si>
    <t>加成值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</si>
</sst>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_ "/>
    <numFmt numFmtId="177" formatCode="0.0000_ "/>
    <numFmt numFmtId="41" formatCode="_ * #,##0_ ;_ * \-#,##0_ ;_ * &quot;-&quot;_ ;_ @_ "/>
    <numFmt numFmtId="42" formatCode="_ &quot;￥&quot;* #,##0_ ;_ &quot;￥&quot;* \-#,##0_ ;_ &quot;￥&quot;* &quot;-&quot;_ ;_ @_ "/>
    <numFmt numFmtId="178" formatCode="0_ "/>
    <numFmt numFmtId="179" formatCode="0.0_ "/>
    <numFmt numFmtId="180" formatCode="0.00_ "/>
    <numFmt numFmtId="181" formatCode="0.000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tted">
        <color auto="1"/>
      </left>
      <right style="double">
        <color auto="1"/>
      </right>
      <top/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7" borderId="5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49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51" applyNumberFormat="0" applyFill="0" applyAlignment="0" applyProtection="0">
      <alignment vertical="center"/>
    </xf>
    <xf numFmtId="0" fontId="14" fillId="0" borderId="51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0" borderId="52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0" fillId="30" borderId="54" applyNumberFormat="0" applyAlignment="0" applyProtection="0">
      <alignment vertical="center"/>
    </xf>
    <xf numFmtId="0" fontId="22" fillId="30" borderId="50" applyNumberFormat="0" applyAlignment="0" applyProtection="0">
      <alignment vertical="center"/>
    </xf>
    <xf numFmtId="0" fontId="11" fillId="15" borderId="48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8" fillId="0" borderId="53" applyNumberFormat="0" applyFill="0" applyAlignment="0" applyProtection="0">
      <alignment vertical="center"/>
    </xf>
    <xf numFmtId="0" fontId="25" fillId="0" borderId="55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176" fontId="1" fillId="2" borderId="1" xfId="0" applyNumberFormat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176" fontId="0" fillId="2" borderId="1" xfId="0" applyNumberForma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0" fontId="0" fillId="3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8" fontId="0" fillId="0" borderId="0" xfId="0" applyNumberFormat="1">
      <alignment vertical="center"/>
    </xf>
    <xf numFmtId="0" fontId="2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vertical="center"/>
    </xf>
    <xf numFmtId="0" fontId="0" fillId="4" borderId="15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4" borderId="20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179" fontId="0" fillId="0" borderId="20" xfId="0" applyNumberFormat="1" applyBorder="1" applyAlignment="1">
      <alignment horizontal="center" vertical="center"/>
    </xf>
    <xf numFmtId="179" fontId="0" fillId="0" borderId="21" xfId="0" applyNumberForma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179" fontId="0" fillId="0" borderId="24" xfId="0" applyNumberFormat="1" applyBorder="1" applyAlignment="1">
      <alignment horizontal="center" vertical="center"/>
    </xf>
    <xf numFmtId="179" fontId="0" fillId="0" borderId="25" xfId="0" applyNumberForma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5" fillId="5" borderId="27" xfId="0" applyFont="1" applyFill="1" applyBorder="1" applyAlignment="1">
      <alignment horizontal="center" vertical="center"/>
    </xf>
    <xf numFmtId="0" fontId="2" fillId="4" borderId="28" xfId="0" applyFont="1" applyFill="1" applyBorder="1">
      <alignment vertical="center"/>
    </xf>
    <xf numFmtId="0" fontId="5" fillId="5" borderId="2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4" borderId="33" xfId="0" applyFont="1" applyFill="1" applyBorder="1">
      <alignment vertical="center"/>
    </xf>
    <xf numFmtId="0" fontId="5" fillId="6" borderId="34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2" fillId="4" borderId="36" xfId="0" applyFont="1" applyFill="1" applyBorder="1">
      <alignment vertical="center"/>
    </xf>
    <xf numFmtId="0" fontId="5" fillId="5" borderId="37" xfId="0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179" fontId="0" fillId="0" borderId="39" xfId="0" applyNumberFormat="1" applyFill="1" applyBorder="1" applyAlignment="1">
      <alignment horizontal="center" vertical="center"/>
    </xf>
    <xf numFmtId="179" fontId="0" fillId="0" borderId="40" xfId="0" applyNumberForma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180" fontId="2" fillId="2" borderId="1" xfId="0" applyNumberFormat="1" applyFont="1" applyFill="1" applyBorder="1">
      <alignment vertical="center"/>
    </xf>
    <xf numFmtId="0" fontId="0" fillId="8" borderId="1" xfId="0" applyFill="1" applyBorder="1">
      <alignment vertical="center"/>
    </xf>
    <xf numFmtId="180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0" xfId="0" applyFont="1">
      <alignment vertical="center"/>
    </xf>
    <xf numFmtId="180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80" fontId="0" fillId="8" borderId="1" xfId="0" applyNumberFormat="1" applyFill="1" applyBorder="1">
      <alignment vertical="center"/>
    </xf>
    <xf numFmtId="0" fontId="1" fillId="8" borderId="1" xfId="0" applyFont="1" applyFill="1" applyBorder="1">
      <alignment vertical="center"/>
    </xf>
    <xf numFmtId="181" fontId="0" fillId="0" borderId="0" xfId="0" applyNumberFormat="1">
      <alignment vertical="center"/>
    </xf>
    <xf numFmtId="0" fontId="0" fillId="2" borderId="1" xfId="0" applyFill="1" applyBorder="1">
      <alignment vertical="center"/>
    </xf>
    <xf numFmtId="179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4" borderId="42" xfId="0" applyFont="1" applyFill="1" applyBorder="1" applyAlignment="1">
      <alignment horizontal="center" vertical="center" wrapText="1"/>
    </xf>
    <xf numFmtId="0" fontId="0" fillId="4" borderId="43" xfId="0" applyFont="1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180" fontId="0" fillId="0" borderId="20" xfId="0" applyNumberFormat="1" applyBorder="1" applyAlignment="1">
      <alignment horizontal="center" vertical="center"/>
    </xf>
    <xf numFmtId="180" fontId="0" fillId="0" borderId="21" xfId="0" applyNumberFormat="1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180" fontId="0" fillId="0" borderId="46" xfId="0" applyNumberFormat="1" applyBorder="1" applyAlignment="1">
      <alignment horizontal="center" vertical="center"/>
    </xf>
    <xf numFmtId="180" fontId="0" fillId="0" borderId="47" xfId="0" applyNumberForma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56"/>
  <sheetViews>
    <sheetView workbookViewId="0">
      <selection activeCell="C7" sqref="C7"/>
    </sheetView>
  </sheetViews>
  <sheetFormatPr defaultColWidth="8.88888888888889" defaultRowHeight="14.4"/>
  <cols>
    <col min="1" max="2" width="6.77777777777778" customWidth="1"/>
    <col min="3" max="4" width="12.7777777777778" customWidth="1"/>
    <col min="5" max="6" width="6.77777777777778" customWidth="1"/>
    <col min="7" max="8" width="12.7777777777778" customWidth="1"/>
    <col min="9" max="10" width="6.77777777777778" customWidth="1"/>
    <col min="11" max="12" width="12.7777777777778" customWidth="1"/>
    <col min="13" max="14" width="6.77777777777778" customWidth="1"/>
    <col min="15" max="16" width="12.7777777777778" customWidth="1"/>
    <col min="17" max="18" width="6.77777777777778" customWidth="1"/>
    <col min="19" max="19" width="12.7777777777778" customWidth="1"/>
    <col min="20" max="21" width="10.7777777777778" customWidth="1"/>
    <col min="27" max="27" width="10.6666666666667"/>
    <col min="30" max="32" width="12.8888888888889"/>
  </cols>
  <sheetData>
    <row r="1" ht="43.2" spans="1:33">
      <c r="A1" s="4" t="s">
        <v>0</v>
      </c>
      <c r="B1" s="4"/>
      <c r="C1" s="102">
        <v>1.8</v>
      </c>
      <c r="D1" s="103" t="s">
        <v>1</v>
      </c>
      <c r="E1" s="104">
        <v>0</v>
      </c>
      <c r="F1" s="105"/>
      <c r="G1" s="4" t="s">
        <v>2</v>
      </c>
      <c r="H1" s="106" t="s">
        <v>3</v>
      </c>
      <c r="I1" s="4" t="s">
        <v>4</v>
      </c>
      <c r="J1" s="4"/>
      <c r="K1" s="106" t="s">
        <v>5</v>
      </c>
      <c r="L1" s="113" t="s">
        <v>6</v>
      </c>
      <c r="M1" s="106" t="s">
        <v>5</v>
      </c>
      <c r="N1" s="106"/>
      <c r="O1" s="123" t="s">
        <v>7</v>
      </c>
      <c r="P1" s="124" t="s">
        <v>5</v>
      </c>
      <c r="Q1" s="85" t="s">
        <v>8</v>
      </c>
      <c r="R1" s="85"/>
      <c r="S1" s="86" t="str">
        <f>IF($B$31&gt;0,"第"&amp;($B$31)&amp;"次攻击"&amp;"("&amp;($B$31)*$C$1&amp;"s)","超过100次攻击")</f>
        <v>超过100次攻击</v>
      </c>
      <c r="T1" s="128" t="str">
        <f>IF(B31=0,IF((SUM(P6:P30)-SUM(O6:O30))&gt;(SUM(L6:L30)-SUM(K6:K30)),"可能存在复仇圣印临界值","可能不存在复仇圣印临界值"),"")</f>
        <v>可能存在复仇圣印临界值</v>
      </c>
      <c r="Y1" s="4" t="s">
        <v>9</v>
      </c>
      <c r="Z1" s="4"/>
      <c r="AA1" s="5">
        <f>26.7*$C$1</f>
        <v>48.06</v>
      </c>
      <c r="AB1" s="4" t="s">
        <v>10</v>
      </c>
      <c r="AC1" s="4"/>
      <c r="AD1" s="100">
        <f>0.092*$C$1</f>
        <v>0.1656</v>
      </c>
      <c r="AE1" s="4" t="s">
        <v>11</v>
      </c>
      <c r="AF1" s="4"/>
      <c r="AG1" s="97">
        <f>($E$2/3.9+IF($H$2="是",5,0)+IF($K$2="是",5,0))*0.25</f>
        <v>1.25</v>
      </c>
    </row>
    <row r="2" spans="1:33">
      <c r="A2" s="4" t="s">
        <v>12</v>
      </c>
      <c r="B2" s="4"/>
      <c r="C2" s="102">
        <v>638</v>
      </c>
      <c r="D2" s="103" t="s">
        <v>13</v>
      </c>
      <c r="E2" s="104">
        <v>0</v>
      </c>
      <c r="F2" s="105"/>
      <c r="G2" s="107" t="s">
        <v>14</v>
      </c>
      <c r="H2" s="106" t="s">
        <v>3</v>
      </c>
      <c r="I2" s="125" t="s">
        <v>15</v>
      </c>
      <c r="J2" s="126"/>
      <c r="K2" s="127">
        <v>0</v>
      </c>
      <c r="L2" s="103" t="s">
        <v>16</v>
      </c>
      <c r="M2" s="106" t="s">
        <v>5</v>
      </c>
      <c r="N2" s="106"/>
      <c r="O2" s="123" t="s">
        <v>17</v>
      </c>
      <c r="P2" s="124" t="s">
        <v>3</v>
      </c>
      <c r="Q2" s="85"/>
      <c r="R2" s="85"/>
      <c r="S2" s="88"/>
      <c r="T2" s="128"/>
      <c r="Y2" s="4" t="s">
        <v>18</v>
      </c>
      <c r="Z2" s="4"/>
      <c r="AA2" s="5">
        <v>235</v>
      </c>
      <c r="AB2" s="4" t="s">
        <v>19</v>
      </c>
      <c r="AC2" s="4"/>
      <c r="AD2" s="100">
        <v>0.79</v>
      </c>
      <c r="AE2" s="4" t="s">
        <v>20</v>
      </c>
      <c r="AF2" s="4"/>
      <c r="AG2" s="97">
        <f>($E$2/3.9+IF($H$2="是",5,0)+IF($K$2="是",5,0))*0.25</f>
        <v>1.25</v>
      </c>
    </row>
    <row r="3" spans="1:33">
      <c r="A3" s="108" t="s">
        <v>21</v>
      </c>
      <c r="B3" s="108"/>
      <c r="C3" s="109">
        <v>70</v>
      </c>
      <c r="D3" s="110" t="s">
        <v>22</v>
      </c>
      <c r="E3" s="111" t="s">
        <v>3</v>
      </c>
      <c r="F3" s="112"/>
      <c r="G3" s="113" t="s">
        <v>23</v>
      </c>
      <c r="H3" s="106" t="s">
        <v>3</v>
      </c>
      <c r="I3" s="110" t="s">
        <v>24</v>
      </c>
      <c r="J3" s="110"/>
      <c r="K3" s="127">
        <v>0</v>
      </c>
      <c r="L3" s="110" t="s">
        <v>25</v>
      </c>
      <c r="M3" s="127" t="s">
        <v>5</v>
      </c>
      <c r="N3" s="127"/>
      <c r="O3" s="129" t="str">
        <f>IF(B31=0,IF(P30-H30&gt;O30-G30,"可能存在复仇圣印临界值","可能不存在复仇圣印临界值"),"")</f>
        <v>可能存在复仇圣印临界值</v>
      </c>
      <c r="P3" s="129"/>
      <c r="Q3" s="85"/>
      <c r="R3" s="85"/>
      <c r="S3" s="88"/>
      <c r="T3" s="128"/>
      <c r="Y3" s="4" t="s">
        <v>26</v>
      </c>
      <c r="Z3" s="4"/>
      <c r="AA3" s="5">
        <f>10*$C$1</f>
        <v>18</v>
      </c>
      <c r="AB3" s="4" t="s">
        <v>27</v>
      </c>
      <c r="AC3" s="4"/>
      <c r="AD3" s="100">
        <f>0.01*$C$1</f>
        <v>0.018</v>
      </c>
      <c r="AE3" s="4" t="s">
        <v>28</v>
      </c>
      <c r="AF3" s="4"/>
      <c r="AG3" s="97">
        <f>$E$1/15.8+IF($H$1="是",3,0)+IF($K$3="是",1,0)</f>
        <v>3</v>
      </c>
    </row>
    <row r="4" spans="1:33">
      <c r="A4" s="114" t="s">
        <v>29</v>
      </c>
      <c r="B4" s="115" t="s">
        <v>30</v>
      </c>
      <c r="C4" s="115" t="s">
        <v>31</v>
      </c>
      <c r="D4" s="116" t="s">
        <v>32</v>
      </c>
      <c r="E4" s="114" t="s">
        <v>29</v>
      </c>
      <c r="F4" s="115" t="s">
        <v>30</v>
      </c>
      <c r="G4" s="115" t="s">
        <v>31</v>
      </c>
      <c r="H4" s="116" t="s">
        <v>32</v>
      </c>
      <c r="I4" s="114" t="s">
        <v>29</v>
      </c>
      <c r="J4" s="115" t="s">
        <v>30</v>
      </c>
      <c r="K4" s="115" t="s">
        <v>31</v>
      </c>
      <c r="L4" s="116" t="s">
        <v>32</v>
      </c>
      <c r="M4" s="114" t="s">
        <v>29</v>
      </c>
      <c r="N4" s="115" t="s">
        <v>30</v>
      </c>
      <c r="O4" s="115" t="s">
        <v>31</v>
      </c>
      <c r="P4" s="116" t="s">
        <v>32</v>
      </c>
      <c r="Y4" s="4" t="s">
        <v>33</v>
      </c>
      <c r="Z4" s="4"/>
      <c r="AA4" s="100">
        <f>120</f>
        <v>120</v>
      </c>
      <c r="AB4" s="4" t="s">
        <v>34</v>
      </c>
      <c r="AC4" s="4"/>
      <c r="AD4" s="100">
        <f>0.43/5</f>
        <v>0.086</v>
      </c>
      <c r="AE4" s="4" t="s">
        <v>35</v>
      </c>
      <c r="AF4" s="4"/>
      <c r="AG4" s="98">
        <f>IF(P2="是",1,"unknow")</f>
        <v>1</v>
      </c>
    </row>
    <row r="5" spans="1:33">
      <c r="A5" s="51"/>
      <c r="B5" s="49"/>
      <c r="C5" s="49"/>
      <c r="D5" s="50"/>
      <c r="E5" s="51"/>
      <c r="F5" s="49"/>
      <c r="G5" s="49"/>
      <c r="H5" s="50"/>
      <c r="I5" s="51"/>
      <c r="J5" s="49"/>
      <c r="K5" s="49"/>
      <c r="L5" s="50"/>
      <c r="M5" s="51"/>
      <c r="N5" s="49"/>
      <c r="O5" s="49"/>
      <c r="P5" s="50"/>
      <c r="Y5" s="4" t="s">
        <v>36</v>
      </c>
      <c r="Z5" s="4"/>
      <c r="AA5" s="100">
        <f>150/5</f>
        <v>30</v>
      </c>
      <c r="AB5" s="4" t="s">
        <v>37</v>
      </c>
      <c r="AC5" s="4"/>
      <c r="AD5" s="100">
        <f>0.18/5</f>
        <v>0.036</v>
      </c>
      <c r="AE5" s="4" t="s">
        <v>38</v>
      </c>
      <c r="AF5" s="4"/>
      <c r="AG5" s="91">
        <f>$C$2+IF($M$1="是",80,0)+IF($M$2="是",42,0)+IF($M$3="是",101,0)</f>
        <v>638</v>
      </c>
    </row>
    <row r="6" spans="1:33">
      <c r="A6" s="56">
        <f t="shared" ref="A6:A11" si="0">(ROW(A6)-5)+(QUOTIENT(COLUMN(A6),3)*25)</f>
        <v>1</v>
      </c>
      <c r="B6" s="53">
        <f>$C$1*((ROW(B6)-5)+(QUOTIENT(COLUMN(B6),4)*25))</f>
        <v>1.8</v>
      </c>
      <c r="C6" s="117">
        <f>(ROUND((A6+1)*$AA$7,0)*$AA$8+QUOTIENT(B6,$AD$6)*$AA$9)*IF($K$1="是",IF(MOD(B6,360)&lt;=20,1.3,1),1)</f>
        <v>307.4</v>
      </c>
      <c r="D6" s="118">
        <f>(($AA$12*MIN(QUOTIENT(B6,2),5))*(MIN(QUOTIENT(B6,2),5)+1)/2)+(MAX((QUOTIENT(B6,2)-5),0)*($AA$12*5))</f>
        <v>0</v>
      </c>
      <c r="E6" s="56">
        <f t="shared" ref="E6:E30" si="1">(ROW(E6)-5)+(QUOTIENT(COLUMN(E6),3)*25)</f>
        <v>26</v>
      </c>
      <c r="F6" s="53">
        <f>$C$1*((ROW(F6)-5)+(QUOTIENT(COLUMN(F6),4)*25))</f>
        <v>46.8</v>
      </c>
      <c r="G6" s="117">
        <f>(ROUND((E6+1)*$AA$7,0)*$AA$8+QUOTIENT(F6,$AD$6)*$AA$9)*IF($K$1="是",IF(MOD(F6,360)&lt;=20,1.3,1),1)</f>
        <v>7105.9</v>
      </c>
      <c r="H6" s="118">
        <f>D30+(((QUOTIENT(F6,3)-QUOTIENT(B30,3))*MIN(ROUND(E6*$AA$6,0),5)*$AA$12+($AD$5*$AG$5)*(1+$K$3/100))+(QUOTIENT(F6,$AD$6)-QUOTIENT(B30,$AD$6))*$AA$11*MIN(ROUND((E6+1)*$AA$6,0),5)+IF(ROUND((E6+1)*$AA$6,0)&gt;5,$AA$10*$AA$6,0))*IF($K$1="是",IF(MOD(F6,360)&lt;=20,1.3,1),1)</f>
        <v>6165.9</v>
      </c>
      <c r="I6" s="56">
        <v>51</v>
      </c>
      <c r="J6" s="53">
        <f>$C$1*((ROW(J6)-5)+(QUOTIENT(COLUMN(J6),4)*25))</f>
        <v>91.8</v>
      </c>
      <c r="K6" s="117">
        <f>(ROUND((I6+1)*$AA$7,0)*$AA$8+QUOTIENT(J6,$AD$6)*$AA$9)*IF($K$1="是",IF(MOD(J6,360)&lt;=20,1.3,1),1)</f>
        <v>14643.4</v>
      </c>
      <c r="L6" s="118">
        <f>H30+(((QUOTIENT(J6,3)-QUOTIENT(F30,3))*MIN(ROUND(I6*$AA$6,0),5)*$AA$12+($AD$5*$AG$5)*(1+$K$3/100))+(QUOTIENT(J6,$AD$6)-QUOTIENT(F30,$AD$6))*$AA$11*MIN(ROUND((I6+1)*$AA$6,0),5)+IF(ROUND((I6+1)*$AA$6,0)&gt;5,$AA$10*$AA$6,0))*IF($K$1="是",IF(MOD(J6,360)&lt;=20,1.3,1),1)</f>
        <v>13805.1</v>
      </c>
      <c r="M6" s="56">
        <v>76</v>
      </c>
      <c r="N6" s="53">
        <f>$C$1*((ROW(N6)-5)+(QUOTIENT(COLUMN(N6),4)*25))</f>
        <v>136.8</v>
      </c>
      <c r="O6" s="117">
        <f>(ROUND((M6+1)*$AA$7,0)*$AA$8+QUOTIENT(N6,$AD$6)*$AA$9)*IF($K$1="是",IF(MOD(N6,360)&lt;=20,1.3,1),1)</f>
        <v>21441.9</v>
      </c>
      <c r="P6" s="118">
        <f>L30+(((QUOTIENT(N6,3)-QUOTIENT(J30,3))*MIN(ROUND(M6*$AA$6,0),5)*$AA$12+($AD$5*$AG$5)*(1+$K$3/100))+(QUOTIENT(N6,$AD$6)-QUOTIENT(J30,$AD$6))*$AA$11*MIN(ROUND((M6+1)*$AA$6,0),5)+IF(ROUND((M6+1)*$AA$6,0)&gt;5,$AA$10*$AA$6,0))*IF($K$1="是",IF(MOD(N6,360)&lt;=20,1.3,1),1)</f>
        <v>20569.8</v>
      </c>
      <c r="Y6" s="4" t="s">
        <v>39</v>
      </c>
      <c r="Z6" s="4"/>
      <c r="AA6" s="91">
        <f>20/60*$C$1*AG4</f>
        <v>0.6</v>
      </c>
      <c r="AB6" s="4" t="s">
        <v>40</v>
      </c>
      <c r="AC6" s="4"/>
      <c r="AD6" s="91">
        <f>10-$K$2</f>
        <v>10</v>
      </c>
      <c r="AE6" s="4" t="s">
        <v>41</v>
      </c>
      <c r="AF6" s="4"/>
      <c r="AG6" s="91"/>
    </row>
    <row r="7" spans="1:33">
      <c r="A7" s="56">
        <f t="shared" si="0"/>
        <v>2</v>
      </c>
      <c r="B7" s="53">
        <f t="shared" ref="B7:B30" si="2">$C$1*((ROW(B7)-5)+(QUOTIENT(COLUMN(B7),4)*25))</f>
        <v>3.6</v>
      </c>
      <c r="C7" s="117">
        <f t="shared" ref="C7:C30" si="3">(ROUND((A7+1)*$AA$7,0)*$AA$8+QUOTIENT(B7,$AD$6)*$AA$9)*IF($K$1="是",IF(MOD(B7,360)&lt;=20,1.3,1),1)</f>
        <v>461.1</v>
      </c>
      <c r="D7" s="118">
        <f>D6+(((QUOTIENT(B7,3)-QUOTIENT(B6,3))*MIN(ROUND(A7*$AA$6,0),5)*$AA$12+($AD$5*$AG$5)*(1+$K$3/100))+(QUOTIENT(B7,$AD$6)-QUOTIENT(B6,$AD$6))*$AA$11*MIN(ROUND((A7+1)*$AA$6,0),5)+IF(ROUND((A7+1)*$AA$6,0)&gt;5,$AA$10*$AA$6,0))*IF($K$1="是",IF(MOD(B7,360)&lt;=20,1.3,1),1)</f>
        <v>52.968</v>
      </c>
      <c r="E7" s="56">
        <f t="shared" si="1"/>
        <v>27</v>
      </c>
      <c r="F7" s="53">
        <f>$C$1*((ROW(F7)-5)+(QUOTIENT(COLUMN(F7),4)*25))</f>
        <v>48.6</v>
      </c>
      <c r="G7" s="117">
        <f t="shared" ref="G7:G30" si="4">(ROUND((E7+1)*$AA$7,0)*$AA$8+QUOTIENT(F7,$AD$6)*$AA$9)*IF($K$1="是",IF(MOD(F7,360)&lt;=20,1.3,1),1)</f>
        <v>7259.6</v>
      </c>
      <c r="H7" s="118">
        <f>H6+(((QUOTIENT(F7,3)-QUOTIENT(F6,3))*MIN(ROUND(E7*$AA$6,0),5)*$AA$12+($AD$5*$AG$5)*(1+$K$3/100))+(QUOTIENT(F7,$AD$6)-QUOTIENT(F6,$AD$6))*$AA$11*MIN(ROUND((E7+1)*$AA$6,0),5)+IF(ROUND((E7+1)*$AA$6,0)&gt;5,$AA$10*$AA$6,0))*IF($K$1="是",IF(MOD(F7,360)&lt;=20,1.3,1),1)</f>
        <v>6356.568</v>
      </c>
      <c r="I7" s="56">
        <v>52</v>
      </c>
      <c r="J7" s="53">
        <f>$C$1*((ROW(J7)-5)+(QUOTIENT(COLUMN(J7),4)*25))</f>
        <v>93.6</v>
      </c>
      <c r="K7" s="117">
        <f t="shared" ref="K7:K30" si="5">(ROUND((I7+1)*$AA$7,0)*$AA$8+QUOTIENT(J7,$AD$6)*$AA$9)*IF($K$1="是",IF(MOD(J7,360)&lt;=20,1.3,1),1)</f>
        <v>14797.1</v>
      </c>
      <c r="L7" s="118">
        <f>L6+(((QUOTIENT(J7,3)-QUOTIENT(J6,3))*MIN(ROUND(I7*$AA$6,0),5)*$AA$12+($AD$5*$AG$5)*(1+$K$3/100))+(QUOTIENT(J7,$AD$6)-QUOTIENT(J6,$AD$6))*$AA$11*MIN(ROUND((I7+1)*$AA$6,0),5)+IF(ROUND((I7+1)*$AA$6,0)&gt;5,$AA$10*$AA$6,0))*IF($K$1="是",IF(MOD(J7,360)&lt;=20,1.3,1),1)</f>
        <v>13995.768</v>
      </c>
      <c r="M7" s="56">
        <v>77</v>
      </c>
      <c r="N7" s="53">
        <f>$C$1*((ROW(N7)-5)+(QUOTIENT(COLUMN(N7),4)*25))</f>
        <v>138.6</v>
      </c>
      <c r="O7" s="117">
        <f t="shared" ref="O7:O30" si="6">(ROUND((M7+1)*$AA$7,0)*$AA$8+QUOTIENT(N7,$AD$6)*$AA$9)*IF($K$1="是",IF(MOD(N7,360)&lt;=20,1.3,1),1)</f>
        <v>21595.6</v>
      </c>
      <c r="P7" s="118">
        <f>P6+(((QUOTIENT(N7,3)-QUOTIENT(N6,3))*MIN(ROUND(M7*$AA$6,0),5)*$AA$12+($AD$5*$AG$5)*(1+$K$3/100))+(QUOTIENT(N7,$AD$6)-QUOTIENT(N6,$AD$6))*$AA$11*MIN(ROUND((M7+1)*$AA$6,0),5)+IF(ROUND((M7+1)*$AA$6,0)&gt;5,$AA$10*$AA$6,0))*IF($K$1="是",IF(MOD(N7,360)&lt;=20,1.3,1),1)</f>
        <v>20760.468</v>
      </c>
      <c r="Y7" s="4" t="s">
        <v>42</v>
      </c>
      <c r="Z7" s="4"/>
      <c r="AA7" s="91">
        <f>AG4</f>
        <v>1</v>
      </c>
      <c r="AB7" s="4" t="s">
        <v>43</v>
      </c>
      <c r="AC7" s="4"/>
      <c r="AD7" s="91"/>
      <c r="AE7" s="4" t="s">
        <v>44</v>
      </c>
      <c r="AF7" s="4"/>
      <c r="AG7" s="91"/>
    </row>
    <row r="8" spans="1:27">
      <c r="A8" s="56">
        <f t="shared" si="0"/>
        <v>3</v>
      </c>
      <c r="B8" s="53">
        <f t="shared" si="2"/>
        <v>5.4</v>
      </c>
      <c r="C8" s="117">
        <f t="shared" si="3"/>
        <v>614.8</v>
      </c>
      <c r="D8" s="118">
        <f t="shared" ref="D8:D30" si="7">D7+(((QUOTIENT(B8,3)-QUOTIENT(B7,3))*MIN(ROUND(A8*$AA$6,0),5)*$AA$12+($AD$5*$AG$5)*(1+$K$3/100))+(QUOTIENT(B8,$AD$6)-QUOTIENT(B7,$AD$6))*$AA$11*MIN(ROUND((A8+1)*$AA$6,0),5)+IF(ROUND((A8+1)*$AA$6,0)&gt;5,$AA$10*$AA$6,0))*IF($K$1="是",IF(MOD(B8,360)&lt;=20,1.3,1),1)</f>
        <v>75.936</v>
      </c>
      <c r="E8" s="56">
        <f t="shared" si="1"/>
        <v>28</v>
      </c>
      <c r="F8" s="53">
        <f>$C$1*((ROW(F8)-5)+(QUOTIENT(COLUMN(F8),4)*25))</f>
        <v>50.4</v>
      </c>
      <c r="G8" s="117">
        <f t="shared" si="4"/>
        <v>8152.3</v>
      </c>
      <c r="H8" s="118">
        <f t="shared" ref="H8:H30" si="8">H7+(((QUOTIENT(F8,3)-QUOTIENT(F7,3))*MIN(ROUND(E8*$AA$6,0),5)*$AA$12+($AD$5*$AG$5)*(1+$K$3/100))+(QUOTIENT(F8,$AD$6)-QUOTIENT(F7,$AD$6))*$AA$11*MIN(ROUND((E8+1)*$AA$6,0),5)+IF(ROUND((E8+1)*$AA$6,0)&gt;5,$AA$10*$AA$6,0))*IF($K$1="是",IF(MOD(F8,360)&lt;=20,1.3,1),1)</f>
        <v>7271.736</v>
      </c>
      <c r="I8" s="56">
        <v>53</v>
      </c>
      <c r="J8" s="53">
        <f>$C$1*((ROW(J8)-5)+(QUOTIENT(COLUMN(J8),4)*25))</f>
        <v>95.4</v>
      </c>
      <c r="K8" s="117">
        <f t="shared" si="5"/>
        <v>14950.8</v>
      </c>
      <c r="L8" s="118">
        <f t="shared" ref="L8:L30" si="9">L7+(((QUOTIENT(J8,3)-QUOTIENT(J7,3))*MIN(ROUND(I8*$AA$6,0),5)*$AA$12+($AD$5*$AG$5)*(1+$K$3/100))+(QUOTIENT(J8,$AD$6)-QUOTIENT(J7,$AD$6))*$AA$11*MIN(ROUND((I8+1)*$AA$6,0),5)+IF(ROUND((I8+1)*$AA$6,0)&gt;5,$AA$10*$AA$6,0))*IF($K$1="是",IF(MOD(J8,360)&lt;=20,1.3,1),1)</f>
        <v>14036.436</v>
      </c>
      <c r="M8" s="56">
        <v>78</v>
      </c>
      <c r="N8" s="53">
        <f>$C$1*((ROW(N8)-5)+(QUOTIENT(COLUMN(N8),4)*25))</f>
        <v>140.4</v>
      </c>
      <c r="O8" s="117">
        <f t="shared" si="6"/>
        <v>22488.3</v>
      </c>
      <c r="P8" s="118">
        <f t="shared" ref="P8:P30" si="10">P7+(((QUOTIENT(N8,3)-QUOTIENT(N7,3))*MIN(ROUND(M8*$AA$6,0),5)*$AA$12+($AD$5*$AG$5)*(1+$K$3/100))+(QUOTIENT(N8,$AD$6)-QUOTIENT(N7,$AD$6))*$AA$11*MIN(ROUND((M8+1)*$AA$6,0),5)+IF(ROUND((M8+1)*$AA$6,0)&gt;5,$AA$10*$AA$6,0))*IF($K$1="是",IF(MOD(N8,360)&lt;=20,1.3,1),1)</f>
        <v>21675.636</v>
      </c>
      <c r="Y8" s="12" t="s">
        <v>45</v>
      </c>
      <c r="Z8" s="12"/>
      <c r="AA8">
        <f>ROUND((AA1+AD1*AG5)*(1+$K$3/100),1)</f>
        <v>153.7</v>
      </c>
    </row>
    <row r="9" spans="1:27">
      <c r="A9" s="56">
        <f t="shared" si="0"/>
        <v>4</v>
      </c>
      <c r="B9" s="53">
        <f t="shared" si="2"/>
        <v>7.2</v>
      </c>
      <c r="C9" s="117">
        <f t="shared" si="3"/>
        <v>768.5</v>
      </c>
      <c r="D9" s="118">
        <f t="shared" si="7"/>
        <v>158.904</v>
      </c>
      <c r="E9" s="56">
        <f t="shared" si="1"/>
        <v>29</v>
      </c>
      <c r="F9" s="53">
        <f>$C$1*((ROW(F9)-5)+(QUOTIENT(COLUMN(F9),4)*25))</f>
        <v>52.2</v>
      </c>
      <c r="G9" s="117">
        <f t="shared" si="4"/>
        <v>8306</v>
      </c>
      <c r="H9" s="118">
        <f t="shared" si="8"/>
        <v>7462.404</v>
      </c>
      <c r="I9" s="56">
        <v>54</v>
      </c>
      <c r="J9" s="53">
        <f>$C$1*((ROW(J9)-5)+(QUOTIENT(COLUMN(J9),4)*25))</f>
        <v>97.2</v>
      </c>
      <c r="K9" s="117">
        <f t="shared" si="5"/>
        <v>15104.5</v>
      </c>
      <c r="L9" s="118">
        <f t="shared" si="9"/>
        <v>14227.104</v>
      </c>
      <c r="M9" s="56">
        <v>79</v>
      </c>
      <c r="N9" s="53">
        <f>$C$1*((ROW(N9)-5)+(QUOTIENT(COLUMN(N9),4)*25))</f>
        <v>142.2</v>
      </c>
      <c r="O9" s="117">
        <f t="shared" si="6"/>
        <v>22642</v>
      </c>
      <c r="P9" s="118">
        <f t="shared" si="10"/>
        <v>21866.304</v>
      </c>
      <c r="Y9" s="12" t="s">
        <v>46</v>
      </c>
      <c r="Z9" s="12"/>
      <c r="AA9">
        <f>ROUND((AA2+AD2*AG5)*(1+$K$3/100),1)</f>
        <v>739</v>
      </c>
    </row>
    <row r="10" spans="1:27">
      <c r="A10" s="56">
        <f t="shared" si="0"/>
        <v>5</v>
      </c>
      <c r="B10" s="53">
        <f t="shared" si="2"/>
        <v>9</v>
      </c>
      <c r="C10" s="117">
        <f t="shared" si="3"/>
        <v>922.2</v>
      </c>
      <c r="D10" s="118">
        <f t="shared" si="7"/>
        <v>271.872</v>
      </c>
      <c r="E10" s="56">
        <f t="shared" si="1"/>
        <v>30</v>
      </c>
      <c r="F10" s="53">
        <f>$C$1*((ROW(F10)-5)+(QUOTIENT(COLUMN(F10),4)*25))</f>
        <v>54</v>
      </c>
      <c r="G10" s="117">
        <f t="shared" si="4"/>
        <v>8459.7</v>
      </c>
      <c r="H10" s="118">
        <f t="shared" si="8"/>
        <v>7653.072</v>
      </c>
      <c r="I10" s="56">
        <v>55</v>
      </c>
      <c r="J10" s="53">
        <f>$C$1*((ROW(J10)-5)+(QUOTIENT(COLUMN(J10),4)*25))</f>
        <v>99</v>
      </c>
      <c r="K10" s="117">
        <f t="shared" si="5"/>
        <v>15258.2</v>
      </c>
      <c r="L10" s="118">
        <f t="shared" si="9"/>
        <v>14417.772</v>
      </c>
      <c r="M10" s="56">
        <v>80</v>
      </c>
      <c r="N10" s="53">
        <f>$C$1*((ROW(N10)-5)+(QUOTIENT(COLUMN(N10),4)*25))</f>
        <v>144</v>
      </c>
      <c r="O10" s="117">
        <f t="shared" si="6"/>
        <v>22795.7</v>
      </c>
      <c r="P10" s="118">
        <f t="shared" si="10"/>
        <v>22056.972</v>
      </c>
      <c r="Y10" s="12" t="s">
        <v>47</v>
      </c>
      <c r="Z10" s="12"/>
      <c r="AA10">
        <f>ROUND((AA3+AD3*AG5)*(1+$K$3/100),1)</f>
        <v>29.5</v>
      </c>
    </row>
    <row r="11" spans="1:27">
      <c r="A11" s="56">
        <f t="shared" si="0"/>
        <v>6</v>
      </c>
      <c r="B11" s="53">
        <f t="shared" si="2"/>
        <v>10.8</v>
      </c>
      <c r="C11" s="117">
        <f t="shared" si="3"/>
        <v>1814.9</v>
      </c>
      <c r="D11" s="118">
        <f t="shared" si="7"/>
        <v>994.44</v>
      </c>
      <c r="E11" s="56">
        <f t="shared" si="1"/>
        <v>31</v>
      </c>
      <c r="F11" s="53">
        <f>$C$1*((ROW(F11)-5)+(QUOTIENT(COLUMN(F11),4)*25))</f>
        <v>55.8</v>
      </c>
      <c r="G11" s="117">
        <f t="shared" si="4"/>
        <v>8613.4</v>
      </c>
      <c r="H11" s="118">
        <f t="shared" si="8"/>
        <v>7693.74</v>
      </c>
      <c r="I11" s="56">
        <v>56</v>
      </c>
      <c r="J11" s="53">
        <f>$C$1*((ROW(J11)-5)+(QUOTIENT(COLUMN(J11),4)*25))</f>
        <v>100.8</v>
      </c>
      <c r="K11" s="117">
        <f t="shared" si="5"/>
        <v>16150.9</v>
      </c>
      <c r="L11" s="118">
        <f t="shared" si="9"/>
        <v>15332.94</v>
      </c>
      <c r="M11" s="56">
        <v>81</v>
      </c>
      <c r="N11" s="53">
        <f>$C$1*((ROW(N11)-5)+(QUOTIENT(COLUMN(N11),4)*25))</f>
        <v>145.8</v>
      </c>
      <c r="O11" s="117">
        <f t="shared" si="6"/>
        <v>22949.4</v>
      </c>
      <c r="P11" s="118">
        <f t="shared" si="10"/>
        <v>22097.64</v>
      </c>
      <c r="Y11" s="12" t="s">
        <v>48</v>
      </c>
      <c r="Z11" s="12"/>
      <c r="AA11">
        <f>ROUND((AA4+AD4*AG5)*(1+$K$3/100),1)</f>
        <v>174.9</v>
      </c>
    </row>
    <row r="12" spans="1:27">
      <c r="A12" s="56">
        <f t="shared" ref="A12:A30" si="11">(ROW(A12)-5)+(QUOTIENT(COLUMN(A12),3)*25)</f>
        <v>7</v>
      </c>
      <c r="B12" s="53">
        <f t="shared" si="2"/>
        <v>12.6</v>
      </c>
      <c r="C12" s="117">
        <f t="shared" si="3"/>
        <v>1968.6</v>
      </c>
      <c r="D12" s="118">
        <f t="shared" si="7"/>
        <v>1137.408</v>
      </c>
      <c r="E12" s="56">
        <f t="shared" si="1"/>
        <v>32</v>
      </c>
      <c r="F12" s="53">
        <f>$C$1*((ROW(F12)-5)+(QUOTIENT(COLUMN(F12),4)*25))</f>
        <v>57.6</v>
      </c>
      <c r="G12" s="117">
        <f t="shared" si="4"/>
        <v>8767.1</v>
      </c>
      <c r="H12" s="118">
        <f t="shared" si="8"/>
        <v>7884.408</v>
      </c>
      <c r="I12" s="56">
        <v>57</v>
      </c>
      <c r="J12" s="53">
        <f>$C$1*((ROW(J12)-5)+(QUOTIENT(COLUMN(J12),4)*25))</f>
        <v>102.6</v>
      </c>
      <c r="K12" s="117">
        <f t="shared" si="5"/>
        <v>16304.6</v>
      </c>
      <c r="L12" s="118">
        <f t="shared" si="9"/>
        <v>15523.608</v>
      </c>
      <c r="M12" s="56">
        <v>82</v>
      </c>
      <c r="N12" s="53">
        <f>$C$1*((ROW(N12)-5)+(QUOTIENT(COLUMN(N12),4)*25))</f>
        <v>147.6</v>
      </c>
      <c r="O12" s="117">
        <f t="shared" si="6"/>
        <v>23103.1</v>
      </c>
      <c r="P12" s="118">
        <f t="shared" si="10"/>
        <v>22288.308</v>
      </c>
      <c r="Y12" s="12" t="s">
        <v>49</v>
      </c>
      <c r="Z12" s="12"/>
      <c r="AA12">
        <f>ROUND((AA5)*(1+$K$3/100),1)</f>
        <v>30</v>
      </c>
    </row>
    <row r="13" spans="1:27">
      <c r="A13" s="56">
        <f t="shared" si="11"/>
        <v>8</v>
      </c>
      <c r="B13" s="53">
        <f t="shared" si="2"/>
        <v>14.4</v>
      </c>
      <c r="C13" s="117">
        <f t="shared" si="3"/>
        <v>2122.3</v>
      </c>
      <c r="D13" s="118">
        <f t="shared" si="7"/>
        <v>1160.376</v>
      </c>
      <c r="E13" s="56">
        <f t="shared" si="1"/>
        <v>33</v>
      </c>
      <c r="F13" s="53">
        <f>$C$1*((ROW(F13)-5)+(QUOTIENT(COLUMN(F13),4)*25))</f>
        <v>59.4</v>
      </c>
      <c r="G13" s="117">
        <f t="shared" si="4"/>
        <v>8920.8</v>
      </c>
      <c r="H13" s="118">
        <f t="shared" si="8"/>
        <v>7925.076</v>
      </c>
      <c r="I13" s="56">
        <v>58</v>
      </c>
      <c r="J13" s="53">
        <f>$C$1*((ROW(J13)-5)+(QUOTIENT(COLUMN(J13),4)*25))</f>
        <v>104.4</v>
      </c>
      <c r="K13" s="117">
        <f t="shared" si="5"/>
        <v>16458.3</v>
      </c>
      <c r="L13" s="118">
        <f t="shared" si="9"/>
        <v>15564.276</v>
      </c>
      <c r="M13" s="56">
        <v>83</v>
      </c>
      <c r="N13" s="53">
        <f>$C$1*((ROW(N13)-5)+(QUOTIENT(COLUMN(N13),4)*25))</f>
        <v>149.4</v>
      </c>
      <c r="O13" s="117">
        <f t="shared" si="6"/>
        <v>23256.8</v>
      </c>
      <c r="P13" s="118">
        <f t="shared" si="10"/>
        <v>22328.976</v>
      </c>
      <c r="Y13" s="12" t="s">
        <v>50</v>
      </c>
      <c r="Z13" s="12"/>
      <c r="AA13">
        <f>AD5*AG5</f>
        <v>22.968</v>
      </c>
    </row>
    <row r="14" spans="1:16">
      <c r="A14" s="56">
        <f t="shared" si="11"/>
        <v>9</v>
      </c>
      <c r="B14" s="53">
        <f t="shared" si="2"/>
        <v>16.2</v>
      </c>
      <c r="C14" s="117">
        <f t="shared" si="3"/>
        <v>2276</v>
      </c>
      <c r="D14" s="118">
        <f t="shared" si="7"/>
        <v>1351.044</v>
      </c>
      <c r="E14" s="56">
        <f t="shared" si="1"/>
        <v>34</v>
      </c>
      <c r="F14" s="53">
        <f>$C$1*((ROW(F14)-5)+(QUOTIENT(COLUMN(F14),4)*25))</f>
        <v>61.2</v>
      </c>
      <c r="G14" s="117">
        <f t="shared" si="4"/>
        <v>9813.5</v>
      </c>
      <c r="H14" s="118">
        <f t="shared" si="8"/>
        <v>8990.244</v>
      </c>
      <c r="I14" s="56">
        <v>59</v>
      </c>
      <c r="J14" s="53">
        <f>$C$1*((ROW(J14)-5)+(QUOTIENT(COLUMN(J14),4)*25))</f>
        <v>106.2</v>
      </c>
      <c r="K14" s="117">
        <f t="shared" si="5"/>
        <v>16612</v>
      </c>
      <c r="L14" s="118">
        <f t="shared" si="9"/>
        <v>15754.944</v>
      </c>
      <c r="M14" s="56">
        <v>84</v>
      </c>
      <c r="N14" s="53">
        <f>$C$1*((ROW(N14)-5)+(QUOTIENT(COLUMN(N14),4)*25))</f>
        <v>151.2</v>
      </c>
      <c r="O14" s="117">
        <f t="shared" si="6"/>
        <v>24149.5</v>
      </c>
      <c r="P14" s="118">
        <f t="shared" si="10"/>
        <v>23394.144</v>
      </c>
    </row>
    <row r="15" spans="1:16">
      <c r="A15" s="56">
        <f t="shared" si="11"/>
        <v>10</v>
      </c>
      <c r="B15" s="53">
        <f t="shared" si="2"/>
        <v>18</v>
      </c>
      <c r="C15" s="117">
        <f t="shared" si="3"/>
        <v>2429.7</v>
      </c>
      <c r="D15" s="118">
        <f t="shared" si="7"/>
        <v>1541.712</v>
      </c>
      <c r="E15" s="56">
        <f t="shared" si="1"/>
        <v>35</v>
      </c>
      <c r="F15" s="53">
        <f>$C$1*((ROW(F15)-5)+(QUOTIENT(COLUMN(F15),4)*25))</f>
        <v>63</v>
      </c>
      <c r="G15" s="117">
        <f t="shared" si="4"/>
        <v>9967.2</v>
      </c>
      <c r="H15" s="118">
        <f t="shared" si="8"/>
        <v>9180.91199999999</v>
      </c>
      <c r="I15" s="56">
        <v>60</v>
      </c>
      <c r="J15" s="53">
        <f>$C$1*((ROW(J15)-5)+(QUOTIENT(COLUMN(J15),4)*25))</f>
        <v>108</v>
      </c>
      <c r="K15" s="117">
        <f t="shared" si="5"/>
        <v>16765.7</v>
      </c>
      <c r="L15" s="118">
        <f t="shared" si="9"/>
        <v>15945.612</v>
      </c>
      <c r="M15" s="56">
        <v>85</v>
      </c>
      <c r="N15" s="53">
        <f>$C$1*((ROW(N15)-5)+(QUOTIENT(COLUMN(N15),4)*25))</f>
        <v>153</v>
      </c>
      <c r="O15" s="117">
        <f t="shared" si="6"/>
        <v>24303.2</v>
      </c>
      <c r="P15" s="118">
        <f t="shared" si="10"/>
        <v>23584.812</v>
      </c>
    </row>
    <row r="16" spans="1:32">
      <c r="A16" s="56">
        <f t="shared" si="11"/>
        <v>11</v>
      </c>
      <c r="B16" s="53">
        <f t="shared" si="2"/>
        <v>19.8</v>
      </c>
      <c r="C16" s="117">
        <f t="shared" si="3"/>
        <v>2583.4</v>
      </c>
      <c r="D16" s="118">
        <f t="shared" si="7"/>
        <v>1582.38</v>
      </c>
      <c r="E16" s="56">
        <f t="shared" si="1"/>
        <v>36</v>
      </c>
      <c r="F16" s="53">
        <f>$C$1*((ROW(F16)-5)+(QUOTIENT(COLUMN(F16),4)*25))</f>
        <v>64.8</v>
      </c>
      <c r="G16" s="117">
        <f t="shared" si="4"/>
        <v>10120.9</v>
      </c>
      <c r="H16" s="118">
        <f t="shared" si="8"/>
        <v>9221.57999999999</v>
      </c>
      <c r="I16" s="56">
        <v>61</v>
      </c>
      <c r="J16" s="53">
        <f>$C$1*((ROW(J16)-5)+(QUOTIENT(COLUMN(J16),4)*25))</f>
        <v>109.8</v>
      </c>
      <c r="K16" s="117">
        <f t="shared" si="5"/>
        <v>16919.4</v>
      </c>
      <c r="L16" s="118">
        <f t="shared" si="9"/>
        <v>15986.28</v>
      </c>
      <c r="M16" s="56">
        <v>86</v>
      </c>
      <c r="N16" s="53">
        <f>$C$1*((ROW(N16)-5)+(QUOTIENT(COLUMN(N16),4)*25))</f>
        <v>154.8</v>
      </c>
      <c r="O16" s="117">
        <f t="shared" si="6"/>
        <v>24456.9</v>
      </c>
      <c r="P16" s="118">
        <f t="shared" si="10"/>
        <v>23625.48</v>
      </c>
      <c r="T16" t="s">
        <v>51</v>
      </c>
      <c r="AC16">
        <v>132</v>
      </c>
      <c r="AD16">
        <f>AC16-AA1</f>
        <v>83.94</v>
      </c>
      <c r="AE16">
        <f>AD16/AG5</f>
        <v>0.131567398119122</v>
      </c>
      <c r="AF16">
        <f>AE16/C1</f>
        <v>0.0730929989550679</v>
      </c>
    </row>
    <row r="17" spans="1:32">
      <c r="A17" s="56">
        <f t="shared" si="11"/>
        <v>12</v>
      </c>
      <c r="B17" s="53">
        <f t="shared" si="2"/>
        <v>21.6</v>
      </c>
      <c r="C17" s="117">
        <f t="shared" si="3"/>
        <v>3476.1</v>
      </c>
      <c r="D17" s="118">
        <f t="shared" si="7"/>
        <v>2647.548</v>
      </c>
      <c r="E17" s="56">
        <f t="shared" si="1"/>
        <v>37</v>
      </c>
      <c r="F17" s="53">
        <f>$C$1*((ROW(F17)-5)+(QUOTIENT(COLUMN(F17),4)*25))</f>
        <v>66.6</v>
      </c>
      <c r="G17" s="117">
        <f t="shared" si="4"/>
        <v>10274.6</v>
      </c>
      <c r="H17" s="118">
        <f t="shared" si="8"/>
        <v>9412.24799999999</v>
      </c>
      <c r="I17" s="56">
        <v>62</v>
      </c>
      <c r="J17" s="53">
        <f>$C$1*((ROW(J17)-5)+(QUOTIENT(COLUMN(J17),4)*25))</f>
        <v>111.6</v>
      </c>
      <c r="K17" s="117">
        <f t="shared" si="5"/>
        <v>17812.1</v>
      </c>
      <c r="L17" s="118">
        <f t="shared" si="9"/>
        <v>17051.448</v>
      </c>
      <c r="M17" s="56">
        <v>87</v>
      </c>
      <c r="N17" s="53">
        <f>$C$1*((ROW(N17)-5)+(QUOTIENT(COLUMN(N17),4)*25))</f>
        <v>156.6</v>
      </c>
      <c r="O17" s="117">
        <f t="shared" si="6"/>
        <v>24610.6</v>
      </c>
      <c r="P17" s="118">
        <f t="shared" si="10"/>
        <v>23816.148</v>
      </c>
      <c r="T17" t="s">
        <v>52</v>
      </c>
      <c r="AC17">
        <v>126.5</v>
      </c>
      <c r="AD17">
        <f>AC17-AA1</f>
        <v>78.44</v>
      </c>
      <c r="AE17">
        <f>AD17/AG5</f>
        <v>0.12294670846395</v>
      </c>
      <c r="AF17">
        <f>AE17/C2</f>
        <v>0.000192706439598667</v>
      </c>
    </row>
    <row r="18" spans="1:20">
      <c r="A18" s="56">
        <f t="shared" si="11"/>
        <v>13</v>
      </c>
      <c r="B18" s="53">
        <f t="shared" si="2"/>
        <v>23.4</v>
      </c>
      <c r="C18" s="117">
        <f t="shared" si="3"/>
        <v>3629.8</v>
      </c>
      <c r="D18" s="118">
        <f t="shared" si="7"/>
        <v>2688.216</v>
      </c>
      <c r="E18" s="56">
        <f t="shared" si="1"/>
        <v>38</v>
      </c>
      <c r="F18" s="53">
        <f>$C$1*((ROW(F18)-5)+(QUOTIENT(COLUMN(F18),4)*25))</f>
        <v>68.4</v>
      </c>
      <c r="G18" s="117">
        <f t="shared" si="4"/>
        <v>10428.3</v>
      </c>
      <c r="H18" s="118">
        <f t="shared" si="8"/>
        <v>9452.91599999999</v>
      </c>
      <c r="I18" s="56">
        <v>63</v>
      </c>
      <c r="J18" s="53">
        <f>$C$1*((ROW(J18)-5)+(QUOTIENT(COLUMN(J18),4)*25))</f>
        <v>113.4</v>
      </c>
      <c r="K18" s="117">
        <f t="shared" si="5"/>
        <v>17965.8</v>
      </c>
      <c r="L18" s="118">
        <f t="shared" si="9"/>
        <v>17092.116</v>
      </c>
      <c r="M18" s="56">
        <v>88</v>
      </c>
      <c r="N18" s="53">
        <f>$C$1*((ROW(N18)-5)+(QUOTIENT(COLUMN(N18),4)*25))</f>
        <v>158.4</v>
      </c>
      <c r="O18" s="117">
        <f t="shared" si="6"/>
        <v>24764.3</v>
      </c>
      <c r="P18" s="118">
        <f t="shared" si="10"/>
        <v>23856.816</v>
      </c>
      <c r="T18" t="s">
        <v>53</v>
      </c>
    </row>
    <row r="19" spans="1:30">
      <c r="A19" s="56">
        <f t="shared" si="11"/>
        <v>14</v>
      </c>
      <c r="B19" s="53">
        <f t="shared" si="2"/>
        <v>25.2</v>
      </c>
      <c r="C19" s="117">
        <f t="shared" si="3"/>
        <v>3783.5</v>
      </c>
      <c r="D19" s="118">
        <f t="shared" si="7"/>
        <v>2878.884</v>
      </c>
      <c r="E19" s="56">
        <f t="shared" si="1"/>
        <v>39</v>
      </c>
      <c r="F19" s="53">
        <f>$C$1*((ROW(F19)-5)+(QUOTIENT(COLUMN(F19),4)*25))</f>
        <v>70.2</v>
      </c>
      <c r="G19" s="117">
        <f t="shared" si="4"/>
        <v>11321</v>
      </c>
      <c r="H19" s="118">
        <f t="shared" si="8"/>
        <v>10518.084</v>
      </c>
      <c r="I19" s="56">
        <v>64</v>
      </c>
      <c r="J19" s="53">
        <f>$C$1*((ROW(J19)-5)+(QUOTIENT(COLUMN(J19),4)*25))</f>
        <v>115.2</v>
      </c>
      <c r="K19" s="117">
        <f t="shared" si="5"/>
        <v>18119.5</v>
      </c>
      <c r="L19" s="118">
        <f t="shared" si="9"/>
        <v>17282.784</v>
      </c>
      <c r="M19" s="56">
        <v>89</v>
      </c>
      <c r="N19" s="53">
        <f>$C$1*((ROW(N19)-5)+(QUOTIENT(COLUMN(N19),4)*25))</f>
        <v>160.2</v>
      </c>
      <c r="O19" s="117">
        <f t="shared" si="6"/>
        <v>25657</v>
      </c>
      <c r="P19" s="118">
        <f t="shared" si="10"/>
        <v>24921.984</v>
      </c>
      <c r="T19" t="s">
        <v>54</v>
      </c>
      <c r="AA19">
        <f>26.7*AB19*1.05</f>
        <v>64.4805</v>
      </c>
      <c r="AB19">
        <v>2.3</v>
      </c>
      <c r="AC19">
        <v>63.5</v>
      </c>
      <c r="AD19">
        <f>AC19/AB19</f>
        <v>27.6086956521739</v>
      </c>
    </row>
    <row r="20" spans="1:30">
      <c r="A20" s="56">
        <f t="shared" si="11"/>
        <v>15</v>
      </c>
      <c r="B20" s="53">
        <f t="shared" si="2"/>
        <v>27</v>
      </c>
      <c r="C20" s="117">
        <f t="shared" si="3"/>
        <v>3937.2</v>
      </c>
      <c r="D20" s="118">
        <f t="shared" si="7"/>
        <v>3069.552</v>
      </c>
      <c r="E20" s="56">
        <f t="shared" si="1"/>
        <v>40</v>
      </c>
      <c r="F20" s="53">
        <f>$C$1*((ROW(F20)-5)+(QUOTIENT(COLUMN(F20),4)*25))</f>
        <v>72</v>
      </c>
      <c r="G20" s="117">
        <f t="shared" si="4"/>
        <v>11474.7</v>
      </c>
      <c r="H20" s="118">
        <f t="shared" si="8"/>
        <v>10708.752</v>
      </c>
      <c r="I20" s="56">
        <v>65</v>
      </c>
      <c r="J20" s="53">
        <f>$C$1*((ROW(J20)-5)+(QUOTIENT(COLUMN(J20),4)*25))</f>
        <v>117</v>
      </c>
      <c r="K20" s="117">
        <f t="shared" si="5"/>
        <v>18273.2</v>
      </c>
      <c r="L20" s="118">
        <f t="shared" si="9"/>
        <v>17473.452</v>
      </c>
      <c r="M20" s="56">
        <v>90</v>
      </c>
      <c r="N20" s="53">
        <f>$C$1*((ROW(N20)-5)+(QUOTIENT(COLUMN(N20),4)*25))</f>
        <v>162</v>
      </c>
      <c r="O20" s="117">
        <f t="shared" si="6"/>
        <v>25810.7</v>
      </c>
      <c r="P20" s="118">
        <f t="shared" si="10"/>
        <v>25112.652</v>
      </c>
      <c r="T20" t="s">
        <v>55</v>
      </c>
      <c r="AA20">
        <f>26.7*AB20*1.05</f>
        <v>44.856</v>
      </c>
      <c r="AB20">
        <v>1.6</v>
      </c>
      <c r="AC20">
        <v>47.5</v>
      </c>
      <c r="AD20">
        <f>AC20/AB20</f>
        <v>29.6875</v>
      </c>
    </row>
    <row r="21" spans="1:20">
      <c r="A21" s="56">
        <f t="shared" si="11"/>
        <v>16</v>
      </c>
      <c r="B21" s="53">
        <f t="shared" si="2"/>
        <v>28.8</v>
      </c>
      <c r="C21" s="117">
        <f t="shared" si="3"/>
        <v>4090.9</v>
      </c>
      <c r="D21" s="118">
        <f t="shared" si="7"/>
        <v>3110.22</v>
      </c>
      <c r="E21" s="56">
        <f t="shared" si="1"/>
        <v>41</v>
      </c>
      <c r="F21" s="53">
        <f>$C$1*((ROW(F21)-5)+(QUOTIENT(COLUMN(F21),4)*25))</f>
        <v>73.8</v>
      </c>
      <c r="G21" s="117">
        <f t="shared" si="4"/>
        <v>11628.4</v>
      </c>
      <c r="H21" s="118">
        <f t="shared" si="8"/>
        <v>10749.42</v>
      </c>
      <c r="I21" s="56">
        <v>66</v>
      </c>
      <c r="J21" s="53">
        <f>$C$1*((ROW(J21)-5)+(QUOTIENT(COLUMN(J21),4)*25))</f>
        <v>118.8</v>
      </c>
      <c r="K21" s="117">
        <f t="shared" si="5"/>
        <v>18426.9</v>
      </c>
      <c r="L21" s="118">
        <f t="shared" si="9"/>
        <v>17514.12</v>
      </c>
      <c r="M21" s="56">
        <v>91</v>
      </c>
      <c r="N21" s="53">
        <f>$C$1*((ROW(N21)-5)+(QUOTIENT(COLUMN(N21),4)*25))</f>
        <v>163.8</v>
      </c>
      <c r="O21" s="117">
        <f t="shared" si="6"/>
        <v>25964.4</v>
      </c>
      <c r="P21" s="118">
        <f t="shared" si="10"/>
        <v>25153.32</v>
      </c>
      <c r="T21" t="s">
        <v>56</v>
      </c>
    </row>
    <row r="22" spans="1:22">
      <c r="A22" s="56">
        <f t="shared" si="11"/>
        <v>17</v>
      </c>
      <c r="B22" s="53">
        <f t="shared" si="2"/>
        <v>30.6</v>
      </c>
      <c r="C22" s="117">
        <f t="shared" si="3"/>
        <v>4983.6</v>
      </c>
      <c r="D22" s="118">
        <f t="shared" si="7"/>
        <v>4175.388</v>
      </c>
      <c r="E22" s="56">
        <f t="shared" si="1"/>
        <v>42</v>
      </c>
      <c r="F22" s="53">
        <f>$C$1*((ROW(F22)-5)+(QUOTIENT(COLUMN(F22),4)*25))</f>
        <v>75.6</v>
      </c>
      <c r="G22" s="117">
        <f t="shared" si="4"/>
        <v>11782.1</v>
      </c>
      <c r="H22" s="118">
        <f t="shared" si="8"/>
        <v>10940.088</v>
      </c>
      <c r="I22" s="56">
        <v>67</v>
      </c>
      <c r="J22" s="53">
        <f>$C$1*((ROW(J22)-5)+(QUOTIENT(COLUMN(J22),4)*25))</f>
        <v>120.6</v>
      </c>
      <c r="K22" s="117">
        <f t="shared" si="5"/>
        <v>19319.6</v>
      </c>
      <c r="L22" s="118">
        <f t="shared" si="9"/>
        <v>18579.288</v>
      </c>
      <c r="M22" s="56">
        <v>92</v>
      </c>
      <c r="N22" s="53">
        <f>$C$1*((ROW(N22)-5)+(QUOTIENT(COLUMN(N22),4)*25))</f>
        <v>165.6</v>
      </c>
      <c r="O22" s="117">
        <f t="shared" si="6"/>
        <v>26118.1</v>
      </c>
      <c r="P22" s="118">
        <f t="shared" si="10"/>
        <v>25343.988</v>
      </c>
      <c r="T22" t="s">
        <v>57</v>
      </c>
      <c r="V22">
        <f>IF($K$1="是",IF(MOD(666,360)&lt;=20,1.3,1),1)</f>
        <v>1</v>
      </c>
    </row>
    <row r="23" spans="1:22">
      <c r="A23" s="56">
        <f t="shared" si="11"/>
        <v>18</v>
      </c>
      <c r="B23" s="53">
        <f t="shared" si="2"/>
        <v>32.4</v>
      </c>
      <c r="C23" s="117">
        <f t="shared" si="3"/>
        <v>5137.3</v>
      </c>
      <c r="D23" s="118">
        <f t="shared" si="7"/>
        <v>4216.056</v>
      </c>
      <c r="E23" s="56">
        <f t="shared" si="1"/>
        <v>43</v>
      </c>
      <c r="F23" s="53">
        <f>$C$1*((ROW(F23)-5)+(QUOTIENT(COLUMN(F23),4)*25))</f>
        <v>77.4</v>
      </c>
      <c r="G23" s="117">
        <f t="shared" si="4"/>
        <v>11935.8</v>
      </c>
      <c r="H23" s="118">
        <f t="shared" si="8"/>
        <v>10980.756</v>
      </c>
      <c r="I23" s="56">
        <v>68</v>
      </c>
      <c r="J23" s="53">
        <f>$C$1*((ROW(J23)-5)+(QUOTIENT(COLUMN(J23),4)*25))</f>
        <v>122.4</v>
      </c>
      <c r="K23" s="117">
        <f t="shared" si="5"/>
        <v>19473.3</v>
      </c>
      <c r="L23" s="118">
        <f t="shared" si="9"/>
        <v>18619.956</v>
      </c>
      <c r="M23" s="56">
        <v>93</v>
      </c>
      <c r="N23" s="53">
        <f>$C$1*((ROW(N23)-5)+(QUOTIENT(COLUMN(N23),4)*25))</f>
        <v>167.4</v>
      </c>
      <c r="O23" s="117">
        <f t="shared" si="6"/>
        <v>26271.8</v>
      </c>
      <c r="P23" s="118">
        <f t="shared" si="10"/>
        <v>25384.656</v>
      </c>
      <c r="T23" t="s">
        <v>58</v>
      </c>
      <c r="V23">
        <f>ROUND((A7+1)*AA6,0)</f>
        <v>2</v>
      </c>
    </row>
    <row r="24" spans="1:22">
      <c r="A24" s="56">
        <f t="shared" si="11"/>
        <v>19</v>
      </c>
      <c r="B24" s="53">
        <f t="shared" si="2"/>
        <v>34.2</v>
      </c>
      <c r="C24" s="117">
        <f t="shared" si="3"/>
        <v>5291</v>
      </c>
      <c r="D24" s="118">
        <f t="shared" si="7"/>
        <v>4406.724</v>
      </c>
      <c r="E24" s="56">
        <f t="shared" si="1"/>
        <v>44</v>
      </c>
      <c r="F24" s="53">
        <f>$C$1*((ROW(F24)-5)+(QUOTIENT(COLUMN(F24),4)*25))</f>
        <v>79.2</v>
      </c>
      <c r="G24" s="117">
        <f t="shared" si="4"/>
        <v>12089.5</v>
      </c>
      <c r="H24" s="118">
        <f t="shared" si="8"/>
        <v>11171.424</v>
      </c>
      <c r="I24" s="56">
        <v>69</v>
      </c>
      <c r="J24" s="53">
        <f>$C$1*((ROW(J24)-5)+(QUOTIENT(COLUMN(J24),4)*25))</f>
        <v>124.2</v>
      </c>
      <c r="K24" s="117">
        <f t="shared" si="5"/>
        <v>19627</v>
      </c>
      <c r="L24" s="118">
        <f t="shared" si="9"/>
        <v>18810.624</v>
      </c>
      <c r="M24" s="56">
        <v>94</v>
      </c>
      <c r="N24" s="53">
        <f>$C$1*((ROW(N24)-5)+(QUOTIENT(COLUMN(N24),4)*25))</f>
        <v>169.2</v>
      </c>
      <c r="O24" s="117">
        <f t="shared" si="6"/>
        <v>26425.5</v>
      </c>
      <c r="P24" s="118">
        <f t="shared" si="10"/>
        <v>25575.324</v>
      </c>
      <c r="T24" t="s">
        <v>59</v>
      </c>
      <c r="V24">
        <f>ROUND((A8+1)*AA6,0)</f>
        <v>2</v>
      </c>
    </row>
    <row r="25" spans="1:16">
      <c r="A25" s="56">
        <f t="shared" si="11"/>
        <v>20</v>
      </c>
      <c r="B25" s="53">
        <f t="shared" si="2"/>
        <v>36</v>
      </c>
      <c r="C25" s="117">
        <f t="shared" si="3"/>
        <v>5444.7</v>
      </c>
      <c r="D25" s="118">
        <f t="shared" si="7"/>
        <v>4597.392</v>
      </c>
      <c r="E25" s="56">
        <f t="shared" si="1"/>
        <v>45</v>
      </c>
      <c r="F25" s="53">
        <f>$C$1*((ROW(F25)-5)+(QUOTIENT(COLUMN(F25),4)*25))</f>
        <v>81</v>
      </c>
      <c r="G25" s="117">
        <f t="shared" si="4"/>
        <v>12982.2</v>
      </c>
      <c r="H25" s="118">
        <f t="shared" si="8"/>
        <v>12236.592</v>
      </c>
      <c r="I25" s="56">
        <v>70</v>
      </c>
      <c r="J25" s="53">
        <f>$C$1*((ROW(J25)-5)+(QUOTIENT(COLUMN(J25),4)*25))</f>
        <v>126</v>
      </c>
      <c r="K25" s="117">
        <f t="shared" si="5"/>
        <v>19780.7</v>
      </c>
      <c r="L25" s="118">
        <f t="shared" si="9"/>
        <v>19001.292</v>
      </c>
      <c r="M25" s="56">
        <v>95</v>
      </c>
      <c r="N25" s="53">
        <f>$C$1*((ROW(N25)-5)+(QUOTIENT(COLUMN(N25),4)*25))</f>
        <v>171</v>
      </c>
      <c r="O25" s="117">
        <f t="shared" si="6"/>
        <v>27318.2</v>
      </c>
      <c r="P25" s="118">
        <f t="shared" si="10"/>
        <v>26640.492</v>
      </c>
    </row>
    <row r="26" spans="1:21">
      <c r="A26" s="56">
        <f t="shared" si="11"/>
        <v>21</v>
      </c>
      <c r="B26" s="53">
        <f t="shared" si="2"/>
        <v>37.8</v>
      </c>
      <c r="C26" s="117">
        <f t="shared" si="3"/>
        <v>5598.4</v>
      </c>
      <c r="D26" s="118">
        <f t="shared" si="7"/>
        <v>4638.06</v>
      </c>
      <c r="E26" s="56">
        <f t="shared" si="1"/>
        <v>46</v>
      </c>
      <c r="F26" s="53">
        <f>$C$1*((ROW(F26)-5)+(QUOTIENT(COLUMN(F26),4)*25))</f>
        <v>82.8</v>
      </c>
      <c r="G26" s="117">
        <f t="shared" si="4"/>
        <v>13135.9</v>
      </c>
      <c r="H26" s="118">
        <f t="shared" si="8"/>
        <v>12277.26</v>
      </c>
      <c r="I26" s="56">
        <v>71</v>
      </c>
      <c r="J26" s="53">
        <f>$C$1*((ROW(J26)-5)+(QUOTIENT(COLUMN(J26),4)*25))</f>
        <v>127.8</v>
      </c>
      <c r="K26" s="117">
        <f t="shared" si="5"/>
        <v>19934.4</v>
      </c>
      <c r="L26" s="118">
        <f t="shared" si="9"/>
        <v>19041.96</v>
      </c>
      <c r="M26" s="56">
        <v>96</v>
      </c>
      <c r="N26" s="53">
        <f>$C$1*((ROW(N26)-5)+(QUOTIENT(COLUMN(N26),4)*25))</f>
        <v>172.8</v>
      </c>
      <c r="O26" s="117">
        <f t="shared" si="6"/>
        <v>27471.9</v>
      </c>
      <c r="P26" s="118">
        <f t="shared" si="10"/>
        <v>26681.16</v>
      </c>
      <c r="T26" t="s">
        <v>60</v>
      </c>
      <c r="U26">
        <f>MIN(ROUND((A11+1)*$AA$6,0),5)</f>
        <v>4</v>
      </c>
    </row>
    <row r="27" spans="1:21">
      <c r="A27" s="56">
        <f t="shared" si="11"/>
        <v>22</v>
      </c>
      <c r="B27" s="53">
        <f t="shared" si="2"/>
        <v>39.6</v>
      </c>
      <c r="C27" s="117">
        <f t="shared" si="3"/>
        <v>5752.1</v>
      </c>
      <c r="D27" s="118">
        <f t="shared" si="7"/>
        <v>4828.728</v>
      </c>
      <c r="E27" s="56">
        <f t="shared" si="1"/>
        <v>47</v>
      </c>
      <c r="F27" s="53">
        <f>$C$1*((ROW(F27)-5)+(QUOTIENT(COLUMN(F27),4)*25))</f>
        <v>84.6</v>
      </c>
      <c r="G27" s="117">
        <f t="shared" si="4"/>
        <v>13289.6</v>
      </c>
      <c r="H27" s="118">
        <f t="shared" si="8"/>
        <v>12467.928</v>
      </c>
      <c r="I27" s="56">
        <v>72</v>
      </c>
      <c r="J27" s="53">
        <f>$C$1*((ROW(J27)-5)+(QUOTIENT(COLUMN(J27),4)*25))</f>
        <v>129.6</v>
      </c>
      <c r="K27" s="117">
        <f t="shared" si="5"/>
        <v>20088.1</v>
      </c>
      <c r="L27" s="118">
        <f t="shared" si="9"/>
        <v>19232.628</v>
      </c>
      <c r="M27" s="56">
        <v>97</v>
      </c>
      <c r="N27" s="53">
        <f>$C$1*((ROW(N27)-5)+(QUOTIENT(COLUMN(N27),4)*25))</f>
        <v>174.6</v>
      </c>
      <c r="O27" s="117">
        <f t="shared" si="6"/>
        <v>27625.6</v>
      </c>
      <c r="P27" s="118">
        <f t="shared" si="10"/>
        <v>26871.828</v>
      </c>
      <c r="T27" t="s">
        <v>61</v>
      </c>
      <c r="U27">
        <f>QUOTIENT(B8,2)</f>
        <v>2</v>
      </c>
    </row>
    <row r="28" spans="1:16">
      <c r="A28" s="56">
        <f t="shared" si="11"/>
        <v>23</v>
      </c>
      <c r="B28" s="53">
        <f t="shared" si="2"/>
        <v>41.4</v>
      </c>
      <c r="C28" s="117">
        <f t="shared" si="3"/>
        <v>6644.8</v>
      </c>
      <c r="D28" s="118">
        <f t="shared" si="7"/>
        <v>5743.896</v>
      </c>
      <c r="E28" s="56">
        <f t="shared" si="1"/>
        <v>48</v>
      </c>
      <c r="F28" s="53">
        <f>$C$1*((ROW(F28)-5)+(QUOTIENT(COLUMN(F28),4)*25))</f>
        <v>86.4</v>
      </c>
      <c r="G28" s="117">
        <f t="shared" si="4"/>
        <v>13443.3</v>
      </c>
      <c r="H28" s="118">
        <f t="shared" si="8"/>
        <v>12508.596</v>
      </c>
      <c r="I28" s="56">
        <v>73</v>
      </c>
      <c r="J28" s="53">
        <f>$C$1*((ROW(J28)-5)+(QUOTIENT(COLUMN(J28),4)*25))</f>
        <v>131.4</v>
      </c>
      <c r="K28" s="117">
        <f t="shared" si="5"/>
        <v>20980.8</v>
      </c>
      <c r="L28" s="118">
        <f t="shared" si="9"/>
        <v>20147.796</v>
      </c>
      <c r="M28" s="56">
        <v>98</v>
      </c>
      <c r="N28" s="53">
        <f>$C$1*((ROW(N28)-5)+(QUOTIENT(COLUMN(N28),4)*25))</f>
        <v>176.4</v>
      </c>
      <c r="O28" s="117">
        <f t="shared" si="6"/>
        <v>27779.3</v>
      </c>
      <c r="P28" s="118">
        <f t="shared" si="10"/>
        <v>26912.496</v>
      </c>
    </row>
    <row r="29" spans="1:22">
      <c r="A29" s="56">
        <f t="shared" si="11"/>
        <v>24</v>
      </c>
      <c r="B29" s="53">
        <f t="shared" si="2"/>
        <v>43.2</v>
      </c>
      <c r="C29" s="117">
        <f t="shared" si="3"/>
        <v>6798.5</v>
      </c>
      <c r="D29" s="118">
        <f t="shared" si="7"/>
        <v>5934.564</v>
      </c>
      <c r="E29" s="56">
        <f t="shared" si="1"/>
        <v>49</v>
      </c>
      <c r="F29" s="53">
        <f>$C$1*((ROW(F29)-5)+(QUOTIENT(COLUMN(F29),4)*25))</f>
        <v>88.2</v>
      </c>
      <c r="G29" s="117">
        <f t="shared" si="4"/>
        <v>13597</v>
      </c>
      <c r="H29" s="118">
        <f t="shared" si="8"/>
        <v>12699.264</v>
      </c>
      <c r="I29" s="56">
        <v>74</v>
      </c>
      <c r="J29" s="53">
        <f>$C$1*((ROW(J29)-5)+(QUOTIENT(COLUMN(J29),4)*25))</f>
        <v>133.2</v>
      </c>
      <c r="K29" s="117">
        <f t="shared" si="5"/>
        <v>21134.5</v>
      </c>
      <c r="L29" s="118">
        <f t="shared" si="9"/>
        <v>20338.464</v>
      </c>
      <c r="M29" s="56">
        <v>99</v>
      </c>
      <c r="N29" s="53">
        <f>$C$1*((ROW(N29)-5)+(QUOTIENT(COLUMN(N29),4)*25))</f>
        <v>178.2</v>
      </c>
      <c r="O29" s="117">
        <f t="shared" si="6"/>
        <v>27933</v>
      </c>
      <c r="P29" s="118">
        <f t="shared" si="10"/>
        <v>27103.164</v>
      </c>
      <c r="T29" t="s">
        <v>62</v>
      </c>
      <c r="V29">
        <f>QUOTIENT(B10,2)</f>
        <v>4</v>
      </c>
    </row>
    <row r="30" spans="1:22">
      <c r="A30" s="119">
        <f t="shared" si="11"/>
        <v>25</v>
      </c>
      <c r="B30" s="120">
        <f t="shared" si="2"/>
        <v>45</v>
      </c>
      <c r="C30" s="121">
        <f t="shared" si="3"/>
        <v>6952.2</v>
      </c>
      <c r="D30" s="122">
        <f t="shared" si="7"/>
        <v>6125.232</v>
      </c>
      <c r="E30" s="119">
        <f t="shared" si="1"/>
        <v>50</v>
      </c>
      <c r="F30" s="120">
        <f>$C$1*((ROW(F30)-5)+(QUOTIENT(COLUMN(F30),4)*25))</f>
        <v>90</v>
      </c>
      <c r="G30" s="121">
        <f t="shared" si="4"/>
        <v>14489.7</v>
      </c>
      <c r="H30" s="122">
        <f t="shared" si="8"/>
        <v>13764.432</v>
      </c>
      <c r="I30" s="119">
        <v>75</v>
      </c>
      <c r="J30" s="120">
        <f>$C$1*((ROW(J30)-5)+(QUOTIENT(COLUMN(J30),4)*25))</f>
        <v>135</v>
      </c>
      <c r="K30" s="121">
        <f t="shared" si="5"/>
        <v>21288.2</v>
      </c>
      <c r="L30" s="122">
        <f t="shared" si="9"/>
        <v>20529.132</v>
      </c>
      <c r="M30" s="119">
        <v>100</v>
      </c>
      <c r="N30" s="120">
        <f>$C$1*((ROW(N30)-5)+(QUOTIENT(COLUMN(N30),4)*25))</f>
        <v>180</v>
      </c>
      <c r="O30" s="121">
        <f t="shared" si="6"/>
        <v>28825.7</v>
      </c>
      <c r="P30" s="122">
        <f t="shared" si="10"/>
        <v>28168.332</v>
      </c>
      <c r="T30" t="s">
        <v>63</v>
      </c>
      <c r="V30">
        <f>QUOTIENT(B11,2)</f>
        <v>5</v>
      </c>
    </row>
    <row r="31" spans="2:22">
      <c r="B31">
        <f>$C$31+$G$31+$K$31+$O$31</f>
        <v>0</v>
      </c>
      <c r="C31">
        <f>IF(D31&gt;0,MIN(D32:D56),0)</f>
        <v>0</v>
      </c>
      <c r="D31">
        <f>SUM(D32:D56)</f>
        <v>0</v>
      </c>
      <c r="G31">
        <f>IF(C31=0,IF(H31&gt;0,MIN(H32:H56),0),0)</f>
        <v>0</v>
      </c>
      <c r="H31">
        <f>SUM(H32:H56)</f>
        <v>0</v>
      </c>
      <c r="K31">
        <f>IF(G31+C31=0,IF(L31&gt;0,MIN(L32:L56),0),0)</f>
        <v>0</v>
      </c>
      <c r="L31">
        <f>SUM(L32:L56)</f>
        <v>0</v>
      </c>
      <c r="O31">
        <f>IF(K31+G31+C31=0,IF(P31&gt;0,MIN(P32:P56),0),0)</f>
        <v>0</v>
      </c>
      <c r="P31">
        <f>SUM(P32:P56)</f>
        <v>0</v>
      </c>
      <c r="T31" t="s">
        <v>64</v>
      </c>
      <c r="V31">
        <f>(V30-V29)*(ROUND((A11+1)*AA6,0)*AA12+($AD$5*$AG$5)*(1+$K$3/100))</f>
        <v>142.968</v>
      </c>
    </row>
    <row r="32" spans="4:16">
      <c r="D32" s="23" t="str">
        <f>IF(D6&gt;C6,A6,"")</f>
        <v/>
      </c>
      <c r="E32" s="23"/>
      <c r="F32" s="23"/>
      <c r="G32" s="23"/>
      <c r="H32" s="23" t="str">
        <f t="shared" ref="H32:H56" si="12">IF(H6&gt;G6,E6,"")</f>
        <v/>
      </c>
      <c r="I32" s="23"/>
      <c r="J32" s="23"/>
      <c r="K32" s="23"/>
      <c r="L32" s="23" t="str">
        <f t="shared" ref="L32:L56" si="13">IF(L6&gt;K6,I6,"")</f>
        <v/>
      </c>
      <c r="M32" s="23"/>
      <c r="N32" s="23"/>
      <c r="O32" s="23"/>
      <c r="P32" s="23" t="str">
        <f t="shared" ref="P32:P56" si="14">IF(P6&gt;O6,M6,"")</f>
        <v/>
      </c>
    </row>
    <row r="33" spans="4:16">
      <c r="D33" s="23" t="str">
        <f t="shared" ref="D33:D56" si="15">IF(D7&gt;C7,A7,"")</f>
        <v/>
      </c>
      <c r="E33" s="23"/>
      <c r="F33" s="23"/>
      <c r="G33" s="23"/>
      <c r="H33" s="23" t="str">
        <f t="shared" si="12"/>
        <v/>
      </c>
      <c r="I33" s="23"/>
      <c r="J33" s="23"/>
      <c r="K33" s="23"/>
      <c r="L33" s="23" t="str">
        <f t="shared" si="13"/>
        <v/>
      </c>
      <c r="M33" s="23"/>
      <c r="N33" s="23"/>
      <c r="O33" s="23"/>
      <c r="P33" s="23" t="str">
        <f t="shared" si="14"/>
        <v/>
      </c>
    </row>
    <row r="34" spans="4:16">
      <c r="D34" s="23" t="str">
        <f t="shared" si="15"/>
        <v/>
      </c>
      <c r="E34" s="23"/>
      <c r="F34" s="23"/>
      <c r="G34" s="23"/>
      <c r="H34" s="23" t="str">
        <f t="shared" si="12"/>
        <v/>
      </c>
      <c r="I34" s="23"/>
      <c r="J34" s="23"/>
      <c r="K34" s="23"/>
      <c r="L34" s="23" t="str">
        <f t="shared" si="13"/>
        <v/>
      </c>
      <c r="M34" s="23"/>
      <c r="N34" s="23"/>
      <c r="O34" s="23"/>
      <c r="P34" s="23" t="str">
        <f t="shared" si="14"/>
        <v/>
      </c>
    </row>
    <row r="35" spans="4:16">
      <c r="D35" s="23" t="str">
        <f t="shared" si="15"/>
        <v/>
      </c>
      <c r="E35" s="23"/>
      <c r="F35" s="23"/>
      <c r="G35" s="23"/>
      <c r="H35" s="23" t="str">
        <f t="shared" si="12"/>
        <v/>
      </c>
      <c r="I35" s="23"/>
      <c r="J35" s="23"/>
      <c r="K35" s="23"/>
      <c r="L35" s="23" t="str">
        <f t="shared" si="13"/>
        <v/>
      </c>
      <c r="M35" s="23"/>
      <c r="N35" s="23"/>
      <c r="O35" s="23"/>
      <c r="P35" s="23" t="str">
        <f t="shared" si="14"/>
        <v/>
      </c>
    </row>
    <row r="36" spans="4:16">
      <c r="D36" s="23" t="str">
        <f t="shared" si="15"/>
        <v/>
      </c>
      <c r="E36" s="23"/>
      <c r="F36" s="23"/>
      <c r="G36" s="23"/>
      <c r="H36" s="23" t="str">
        <f t="shared" si="12"/>
        <v/>
      </c>
      <c r="I36" s="23"/>
      <c r="J36" s="23"/>
      <c r="K36" s="23"/>
      <c r="L36" s="23" t="str">
        <f t="shared" si="13"/>
        <v/>
      </c>
      <c r="M36" s="23"/>
      <c r="N36" s="23"/>
      <c r="O36" s="23"/>
      <c r="P36" s="23" t="str">
        <f t="shared" si="14"/>
        <v/>
      </c>
    </row>
    <row r="37" spans="4:16">
      <c r="D37" s="23" t="str">
        <f t="shared" si="15"/>
        <v/>
      </c>
      <c r="E37" s="23"/>
      <c r="F37" s="23"/>
      <c r="G37" s="23"/>
      <c r="H37" s="23" t="str">
        <f t="shared" si="12"/>
        <v/>
      </c>
      <c r="I37" s="23"/>
      <c r="J37" s="23"/>
      <c r="K37" s="23"/>
      <c r="L37" s="23" t="str">
        <f t="shared" si="13"/>
        <v/>
      </c>
      <c r="M37" s="23"/>
      <c r="N37" s="23"/>
      <c r="O37" s="23"/>
      <c r="P37" s="23" t="str">
        <f t="shared" si="14"/>
        <v/>
      </c>
    </row>
    <row r="38" spans="4:16">
      <c r="D38" s="23" t="str">
        <f t="shared" si="15"/>
        <v/>
      </c>
      <c r="E38" s="23"/>
      <c r="F38" s="23"/>
      <c r="G38" s="23"/>
      <c r="H38" s="23" t="str">
        <f t="shared" si="12"/>
        <v/>
      </c>
      <c r="I38" s="23"/>
      <c r="J38" s="23"/>
      <c r="K38" s="23"/>
      <c r="L38" s="23" t="str">
        <f t="shared" si="13"/>
        <v/>
      </c>
      <c r="M38" s="23"/>
      <c r="N38" s="23"/>
      <c r="O38" s="23"/>
      <c r="P38" s="23" t="str">
        <f t="shared" si="14"/>
        <v/>
      </c>
    </row>
    <row r="39" spans="4:16">
      <c r="D39" s="23" t="str">
        <f t="shared" si="15"/>
        <v/>
      </c>
      <c r="E39" s="23"/>
      <c r="F39" s="23"/>
      <c r="G39" s="23"/>
      <c r="H39" s="23" t="str">
        <f t="shared" si="12"/>
        <v/>
      </c>
      <c r="I39" s="23"/>
      <c r="J39" s="23"/>
      <c r="K39" s="23"/>
      <c r="L39" s="23" t="str">
        <f t="shared" si="13"/>
        <v/>
      </c>
      <c r="M39" s="23"/>
      <c r="N39" s="23"/>
      <c r="O39" s="23"/>
      <c r="P39" s="23" t="str">
        <f t="shared" si="14"/>
        <v/>
      </c>
    </row>
    <row r="40" spans="4:16">
      <c r="D40" s="23" t="str">
        <f t="shared" si="15"/>
        <v/>
      </c>
      <c r="E40" s="23"/>
      <c r="F40" s="23"/>
      <c r="G40" s="23"/>
      <c r="H40" s="23" t="str">
        <f t="shared" si="12"/>
        <v/>
      </c>
      <c r="I40" s="23"/>
      <c r="J40" s="23"/>
      <c r="K40" s="23"/>
      <c r="L40" s="23" t="str">
        <f t="shared" si="13"/>
        <v/>
      </c>
      <c r="M40" s="23"/>
      <c r="N40" s="23"/>
      <c r="O40" s="23"/>
      <c r="P40" s="23" t="str">
        <f t="shared" si="14"/>
        <v/>
      </c>
    </row>
    <row r="41" spans="4:16">
      <c r="D41" s="23" t="str">
        <f t="shared" si="15"/>
        <v/>
      </c>
      <c r="E41" s="23"/>
      <c r="F41" s="23"/>
      <c r="G41" s="23"/>
      <c r="H41" s="23" t="str">
        <f t="shared" si="12"/>
        <v/>
      </c>
      <c r="I41" s="23"/>
      <c r="J41" s="23"/>
      <c r="K41" s="23"/>
      <c r="L41" s="23" t="str">
        <f t="shared" si="13"/>
        <v/>
      </c>
      <c r="M41" s="23"/>
      <c r="N41" s="23"/>
      <c r="O41" s="23"/>
      <c r="P41" s="23" t="str">
        <f t="shared" si="14"/>
        <v/>
      </c>
    </row>
    <row r="42" spans="4:16">
      <c r="D42" s="23" t="str">
        <f t="shared" si="15"/>
        <v/>
      </c>
      <c r="E42" s="23"/>
      <c r="F42" s="23"/>
      <c r="G42" s="23"/>
      <c r="H42" s="23" t="str">
        <f t="shared" si="12"/>
        <v/>
      </c>
      <c r="I42" s="23"/>
      <c r="J42" s="23"/>
      <c r="K42" s="23"/>
      <c r="L42" s="23" t="str">
        <f t="shared" si="13"/>
        <v/>
      </c>
      <c r="M42" s="23"/>
      <c r="N42" s="23"/>
      <c r="O42" s="23"/>
      <c r="P42" s="23" t="str">
        <f t="shared" si="14"/>
        <v/>
      </c>
    </row>
    <row r="43" spans="4:16">
      <c r="D43" s="23" t="str">
        <f t="shared" si="15"/>
        <v/>
      </c>
      <c r="E43" s="23"/>
      <c r="F43" s="23"/>
      <c r="G43" s="23"/>
      <c r="H43" s="23" t="str">
        <f t="shared" si="12"/>
        <v/>
      </c>
      <c r="I43" s="23"/>
      <c r="J43" s="23"/>
      <c r="K43" s="23"/>
      <c r="L43" s="23" t="str">
        <f t="shared" si="13"/>
        <v/>
      </c>
      <c r="M43" s="23"/>
      <c r="N43" s="23"/>
      <c r="O43" s="23"/>
      <c r="P43" s="23" t="str">
        <f t="shared" si="14"/>
        <v/>
      </c>
    </row>
    <row r="44" spans="4:16">
      <c r="D44" s="23" t="str">
        <f t="shared" si="15"/>
        <v/>
      </c>
      <c r="E44" s="23"/>
      <c r="F44" s="23"/>
      <c r="G44" s="23"/>
      <c r="H44" s="23" t="str">
        <f t="shared" si="12"/>
        <v/>
      </c>
      <c r="I44" s="23"/>
      <c r="J44" s="23"/>
      <c r="K44" s="23"/>
      <c r="L44" s="23" t="str">
        <f t="shared" si="13"/>
        <v/>
      </c>
      <c r="M44" s="23"/>
      <c r="N44" s="23"/>
      <c r="O44" s="23"/>
      <c r="P44" s="23" t="str">
        <f t="shared" si="14"/>
        <v/>
      </c>
    </row>
    <row r="45" spans="4:16">
      <c r="D45" s="23" t="str">
        <f t="shared" si="15"/>
        <v/>
      </c>
      <c r="E45" s="23"/>
      <c r="F45" s="23"/>
      <c r="G45" s="23"/>
      <c r="H45" s="23" t="str">
        <f t="shared" si="12"/>
        <v/>
      </c>
      <c r="I45" s="23"/>
      <c r="J45" s="23"/>
      <c r="K45" s="23"/>
      <c r="L45" s="23" t="str">
        <f t="shared" si="13"/>
        <v/>
      </c>
      <c r="M45" s="23"/>
      <c r="N45" s="23"/>
      <c r="O45" s="23"/>
      <c r="P45" s="23" t="str">
        <f t="shared" si="14"/>
        <v/>
      </c>
    </row>
    <row r="46" spans="4:16">
      <c r="D46" s="23" t="str">
        <f t="shared" si="15"/>
        <v/>
      </c>
      <c r="E46" s="23"/>
      <c r="F46" s="23"/>
      <c r="G46" s="23"/>
      <c r="H46" s="23" t="str">
        <f t="shared" si="12"/>
        <v/>
      </c>
      <c r="I46" s="23"/>
      <c r="J46" s="23"/>
      <c r="K46" s="23"/>
      <c r="L46" s="23" t="str">
        <f t="shared" si="13"/>
        <v/>
      </c>
      <c r="M46" s="23"/>
      <c r="N46" s="23"/>
      <c r="O46" s="23"/>
      <c r="P46" s="23" t="str">
        <f t="shared" si="14"/>
        <v/>
      </c>
    </row>
    <row r="47" spans="4:16">
      <c r="D47" s="23" t="str">
        <f t="shared" si="15"/>
        <v/>
      </c>
      <c r="E47" s="23"/>
      <c r="F47" s="23"/>
      <c r="G47" s="23"/>
      <c r="H47" s="23" t="str">
        <f t="shared" si="12"/>
        <v/>
      </c>
      <c r="I47" s="23"/>
      <c r="J47" s="23"/>
      <c r="K47" s="23"/>
      <c r="L47" s="23" t="str">
        <f t="shared" si="13"/>
        <v/>
      </c>
      <c r="M47" s="23"/>
      <c r="N47" s="23"/>
      <c r="O47" s="23"/>
      <c r="P47" s="23" t="str">
        <f t="shared" si="14"/>
        <v/>
      </c>
    </row>
    <row r="48" spans="4:16">
      <c r="D48" s="23" t="str">
        <f t="shared" si="15"/>
        <v/>
      </c>
      <c r="E48" s="23"/>
      <c r="F48" s="23"/>
      <c r="G48" s="23"/>
      <c r="H48" s="23" t="str">
        <f t="shared" si="12"/>
        <v/>
      </c>
      <c r="I48" s="23"/>
      <c r="J48" s="23"/>
      <c r="K48" s="23"/>
      <c r="L48" s="23" t="str">
        <f t="shared" si="13"/>
        <v/>
      </c>
      <c r="M48" s="23"/>
      <c r="N48" s="23"/>
      <c r="O48" s="23"/>
      <c r="P48" s="23" t="str">
        <f t="shared" si="14"/>
        <v/>
      </c>
    </row>
    <row r="49" spans="4:16">
      <c r="D49" s="23" t="str">
        <f t="shared" si="15"/>
        <v/>
      </c>
      <c r="E49" s="23"/>
      <c r="F49" s="23"/>
      <c r="G49" s="23"/>
      <c r="H49" s="23" t="str">
        <f t="shared" si="12"/>
        <v/>
      </c>
      <c r="I49" s="23"/>
      <c r="J49" s="23"/>
      <c r="K49" s="23"/>
      <c r="L49" s="23" t="str">
        <f t="shared" si="13"/>
        <v/>
      </c>
      <c r="M49" s="23"/>
      <c r="N49" s="23"/>
      <c r="O49" s="23"/>
      <c r="P49" s="23" t="str">
        <f t="shared" si="14"/>
        <v/>
      </c>
    </row>
    <row r="50" spans="4:16">
      <c r="D50" s="23" t="str">
        <f t="shared" si="15"/>
        <v/>
      </c>
      <c r="E50" s="23"/>
      <c r="F50" s="23"/>
      <c r="G50" s="23"/>
      <c r="H50" s="23" t="str">
        <f t="shared" si="12"/>
        <v/>
      </c>
      <c r="I50" s="23"/>
      <c r="J50" s="23"/>
      <c r="K50" s="23"/>
      <c r="L50" s="23" t="str">
        <f t="shared" si="13"/>
        <v/>
      </c>
      <c r="M50" s="23"/>
      <c r="N50" s="23"/>
      <c r="O50" s="23"/>
      <c r="P50" s="23" t="str">
        <f t="shared" si="14"/>
        <v/>
      </c>
    </row>
    <row r="51" spans="4:16">
      <c r="D51" s="23" t="str">
        <f t="shared" si="15"/>
        <v/>
      </c>
      <c r="E51" s="23"/>
      <c r="F51" s="23"/>
      <c r="G51" s="23"/>
      <c r="H51" s="23" t="str">
        <f t="shared" si="12"/>
        <v/>
      </c>
      <c r="I51" s="23"/>
      <c r="J51" s="23"/>
      <c r="K51" s="23"/>
      <c r="L51" s="23" t="str">
        <f t="shared" si="13"/>
        <v/>
      </c>
      <c r="M51" s="23"/>
      <c r="N51" s="23"/>
      <c r="O51" s="23"/>
      <c r="P51" s="23" t="str">
        <f t="shared" si="14"/>
        <v/>
      </c>
    </row>
    <row r="52" spans="4:16">
      <c r="D52" s="23" t="str">
        <f t="shared" si="15"/>
        <v/>
      </c>
      <c r="E52" s="23"/>
      <c r="F52" s="23"/>
      <c r="G52" s="23"/>
      <c r="H52" s="23" t="str">
        <f t="shared" si="12"/>
        <v/>
      </c>
      <c r="I52" s="23"/>
      <c r="J52" s="23"/>
      <c r="K52" s="23"/>
      <c r="L52" s="23" t="str">
        <f t="shared" si="13"/>
        <v/>
      </c>
      <c r="M52" s="23"/>
      <c r="N52" s="23"/>
      <c r="O52" s="23"/>
      <c r="P52" s="23" t="str">
        <f t="shared" si="14"/>
        <v/>
      </c>
    </row>
    <row r="53" spans="4:16">
      <c r="D53" s="23" t="str">
        <f t="shared" si="15"/>
        <v/>
      </c>
      <c r="E53" s="23"/>
      <c r="F53" s="23"/>
      <c r="G53" s="23"/>
      <c r="H53" s="23" t="str">
        <f t="shared" si="12"/>
        <v/>
      </c>
      <c r="I53" s="23"/>
      <c r="J53" s="23"/>
      <c r="K53" s="23"/>
      <c r="L53" s="23" t="str">
        <f t="shared" si="13"/>
        <v/>
      </c>
      <c r="M53" s="23"/>
      <c r="N53" s="23"/>
      <c r="O53" s="23"/>
      <c r="P53" s="23" t="str">
        <f t="shared" si="14"/>
        <v/>
      </c>
    </row>
    <row r="54" spans="4:16">
      <c r="D54" s="23" t="str">
        <f t="shared" si="15"/>
        <v/>
      </c>
      <c r="E54" s="23"/>
      <c r="F54" s="23"/>
      <c r="G54" s="23"/>
      <c r="H54" s="23" t="str">
        <f t="shared" si="12"/>
        <v/>
      </c>
      <c r="I54" s="23"/>
      <c r="J54" s="23"/>
      <c r="K54" s="23"/>
      <c r="L54" s="23" t="str">
        <f t="shared" si="13"/>
        <v/>
      </c>
      <c r="M54" s="23"/>
      <c r="N54" s="23"/>
      <c r="O54" s="23"/>
      <c r="P54" s="23" t="str">
        <f t="shared" si="14"/>
        <v/>
      </c>
    </row>
    <row r="55" spans="4:16">
      <c r="D55" s="23" t="str">
        <f t="shared" si="15"/>
        <v/>
      </c>
      <c r="E55" s="23"/>
      <c r="F55" s="23"/>
      <c r="G55" s="23"/>
      <c r="H55" s="23" t="str">
        <f t="shared" si="12"/>
        <v/>
      </c>
      <c r="I55" s="23"/>
      <c r="J55" s="23"/>
      <c r="K55" s="23"/>
      <c r="L55" s="23" t="str">
        <f t="shared" si="13"/>
        <v/>
      </c>
      <c r="M55" s="23"/>
      <c r="N55" s="23"/>
      <c r="O55" s="23"/>
      <c r="P55" s="23" t="str">
        <f t="shared" si="14"/>
        <v/>
      </c>
    </row>
    <row r="56" spans="4:16">
      <c r="D56" s="23" t="str">
        <f t="shared" si="15"/>
        <v/>
      </c>
      <c r="E56" s="23"/>
      <c r="F56" s="23"/>
      <c r="G56" s="23"/>
      <c r="H56" s="23" t="str">
        <f t="shared" si="12"/>
        <v/>
      </c>
      <c r="I56" s="23"/>
      <c r="J56" s="23"/>
      <c r="K56" s="23"/>
      <c r="L56" s="23" t="str">
        <f t="shared" si="13"/>
        <v/>
      </c>
      <c r="M56" s="23"/>
      <c r="N56" s="23"/>
      <c r="O56" s="23"/>
      <c r="P56" s="23" t="str">
        <f t="shared" si="14"/>
        <v/>
      </c>
    </row>
  </sheetData>
  <mergeCells count="58">
    <mergeCell ref="A1:B1"/>
    <mergeCell ref="E1:F1"/>
    <mergeCell ref="I1:J1"/>
    <mergeCell ref="M1:N1"/>
    <mergeCell ref="Y1:Z1"/>
    <mergeCell ref="AB1:AC1"/>
    <mergeCell ref="AE1:AF1"/>
    <mergeCell ref="A2:B2"/>
    <mergeCell ref="E2:F2"/>
    <mergeCell ref="I2:J2"/>
    <mergeCell ref="M2:N2"/>
    <mergeCell ref="Y2:Z2"/>
    <mergeCell ref="AB2:AC2"/>
    <mergeCell ref="AE2:AF2"/>
    <mergeCell ref="A3:B3"/>
    <mergeCell ref="E3:F3"/>
    <mergeCell ref="I3:J3"/>
    <mergeCell ref="M3:N3"/>
    <mergeCell ref="O3:P3"/>
    <mergeCell ref="Y3:Z3"/>
    <mergeCell ref="AB3:AC3"/>
    <mergeCell ref="AE3:AF3"/>
    <mergeCell ref="Y4:Z4"/>
    <mergeCell ref="AB4:AC4"/>
    <mergeCell ref="AE4:AF4"/>
    <mergeCell ref="Y5:Z5"/>
    <mergeCell ref="AB5:AC5"/>
    <mergeCell ref="AE5:AF5"/>
    <mergeCell ref="Y6:Z6"/>
    <mergeCell ref="AB6:AC6"/>
    <mergeCell ref="AE6:AF6"/>
    <mergeCell ref="Y7:Z7"/>
    <mergeCell ref="AB7:AC7"/>
    <mergeCell ref="AE7:AF7"/>
    <mergeCell ref="Y8:Z8"/>
    <mergeCell ref="Y9:Z9"/>
    <mergeCell ref="Y10:Z10"/>
    <mergeCell ref="Y11:Z11"/>
    <mergeCell ref="Y12:Z12"/>
    <mergeCell ref="Y13:Z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S1:S3"/>
    <mergeCell ref="Q1:R3"/>
  </mergeCells>
  <dataValidations count="8">
    <dataValidation type="decimal" operator="between" allowBlank="1" showInputMessage="1" showErrorMessage="1" sqref="B1">
      <formula1>0.1</formula1>
      <formula2>4</formula2>
    </dataValidation>
    <dataValidation type="list" allowBlank="1" showInputMessage="1" showErrorMessage="1" sqref="J2 K2">
      <formula1>"0,1,2"</formula1>
    </dataValidation>
    <dataValidation type="whole" operator="between" allowBlank="1" showInputMessage="1" showErrorMessage="1" sqref="B2">
      <formula1>0</formula1>
      <formula2>99999</formula2>
    </dataValidation>
    <dataValidation type="list" allowBlank="1" showInputMessage="1" showErrorMessage="1" sqref="P1">
      <formula1>"否"</formula1>
    </dataValidation>
    <dataValidation type="list" allowBlank="1" showInputMessage="1" showErrorMessage="1" sqref="H1 K1 M1 H2 M2 E3 H3 M3">
      <formula1>"是,否"</formula1>
    </dataValidation>
    <dataValidation type="list" allowBlank="1" showInputMessage="1" showErrorMessage="1" sqref="P2">
      <formula1>"是"</formula1>
    </dataValidation>
    <dataValidation type="list" allowBlank="1" showInputMessage="1" showErrorMessage="1" sqref="B3">
      <formula1>"70,71,72,73,首领"</formula1>
    </dataValidation>
    <dataValidation type="list" allowBlank="1" showInputMessage="1" showErrorMessage="1" sqref="K3">
      <formula1>"0,1,2,3,4,5"</formula1>
    </dataValidation>
  </dataValidation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59"/>
  <sheetViews>
    <sheetView workbookViewId="0">
      <selection activeCell="R14" sqref="R14"/>
    </sheetView>
  </sheetViews>
  <sheetFormatPr defaultColWidth="8.88888888888889" defaultRowHeight="14.4"/>
  <cols>
    <col min="1" max="2" width="6.77777777777778" customWidth="1"/>
    <col min="3" max="4" width="12.7777777777778" customWidth="1"/>
    <col min="5" max="6" width="6.77777777777778" customWidth="1"/>
    <col min="7" max="8" width="12.7777777777778" customWidth="1"/>
    <col min="9" max="10" width="6.77777777777778" customWidth="1"/>
    <col min="11" max="12" width="12.7777777777778" customWidth="1"/>
    <col min="13" max="14" width="6.77777777777778" customWidth="1"/>
    <col min="15" max="16" width="12.7777777777778" customWidth="1"/>
    <col min="17" max="18" width="6.77777777777778" customWidth="1"/>
    <col min="19" max="19" width="12.7777777777778" customWidth="1"/>
    <col min="20" max="21" width="10.7777777777778" customWidth="1"/>
    <col min="27" max="27" width="10.6666666666667"/>
    <col min="30" max="33" width="12.8888888888889"/>
  </cols>
  <sheetData>
    <row r="1" customHeight="1" spans="1:33">
      <c r="A1" s="4" t="s">
        <v>0</v>
      </c>
      <c r="B1" s="4"/>
      <c r="C1" s="102">
        <v>1.8</v>
      </c>
      <c r="D1" s="103" t="s">
        <v>1</v>
      </c>
      <c r="E1" s="104">
        <v>0</v>
      </c>
      <c r="F1" s="105"/>
      <c r="G1" s="4" t="s">
        <v>2</v>
      </c>
      <c r="H1" s="106" t="s">
        <v>3</v>
      </c>
      <c r="I1" s="4" t="s">
        <v>4</v>
      </c>
      <c r="J1" s="4"/>
      <c r="K1" s="106" t="s">
        <v>5</v>
      </c>
      <c r="L1" s="113" t="s">
        <v>6</v>
      </c>
      <c r="M1" s="106" t="s">
        <v>5</v>
      </c>
      <c r="N1" s="106"/>
      <c r="O1" s="123" t="s">
        <v>7</v>
      </c>
      <c r="P1" s="124" t="s">
        <v>5</v>
      </c>
      <c r="Q1" s="85" t="s">
        <v>8</v>
      </c>
      <c r="R1" s="85"/>
      <c r="S1" s="86" t="str">
        <f>IF($B$31&gt;0,"第"&amp;($B$31)&amp;"次攻击"&amp;"("&amp;($B$31)*$C$1&amp;"s)","超过100次攻击")</f>
        <v>第6次攻击(10.8s)</v>
      </c>
      <c r="T1" s="128" t="str">
        <f>IF(B31=0,IF(P30-H30&gt;O30-G30,"可能存在复仇圣印临界值","可能不存在复仇圣印临界值"),"")</f>
        <v/>
      </c>
      <c r="Y1" s="4" t="s">
        <v>9</v>
      </c>
      <c r="Z1" s="4"/>
      <c r="AA1" s="5">
        <f>26.7*$C$1</f>
        <v>48.06</v>
      </c>
      <c r="AB1" s="4" t="s">
        <v>10</v>
      </c>
      <c r="AC1" s="4"/>
      <c r="AD1" s="6">
        <f>0.106*$C$1+(0.092*$C$1)*0</f>
        <v>0.1908</v>
      </c>
      <c r="AE1" s="4" t="s">
        <v>11</v>
      </c>
      <c r="AF1" s="4"/>
      <c r="AG1" s="97">
        <f>($E$2/3.9+IF($H$2="是",5,0)+IF($K$2="是",5,0))*0.25</f>
        <v>1.25</v>
      </c>
    </row>
    <row r="2" spans="1:33">
      <c r="A2" s="4" t="s">
        <v>12</v>
      </c>
      <c r="B2" s="4"/>
      <c r="C2" s="102">
        <v>200</v>
      </c>
      <c r="D2" s="103" t="s">
        <v>13</v>
      </c>
      <c r="E2" s="104">
        <v>0</v>
      </c>
      <c r="F2" s="105"/>
      <c r="G2" s="107" t="s">
        <v>14</v>
      </c>
      <c r="H2" s="106" t="s">
        <v>3</v>
      </c>
      <c r="I2" s="125" t="s">
        <v>15</v>
      </c>
      <c r="J2" s="126"/>
      <c r="K2" s="127">
        <v>0</v>
      </c>
      <c r="L2" s="103" t="s">
        <v>16</v>
      </c>
      <c r="M2" s="106" t="s">
        <v>5</v>
      </c>
      <c r="N2" s="106"/>
      <c r="O2" s="123" t="s">
        <v>17</v>
      </c>
      <c r="P2" s="124" t="s">
        <v>3</v>
      </c>
      <c r="Q2" s="85"/>
      <c r="R2" s="85"/>
      <c r="S2" s="88"/>
      <c r="T2" s="128"/>
      <c r="Y2" s="4" t="s">
        <v>18</v>
      </c>
      <c r="Z2" s="4"/>
      <c r="AA2" s="5">
        <v>235.5</v>
      </c>
      <c r="AB2" s="4" t="s">
        <v>19</v>
      </c>
      <c r="AC2" s="4"/>
      <c r="AD2" s="6">
        <v>0.73</v>
      </c>
      <c r="AE2" s="4" t="s">
        <v>20</v>
      </c>
      <c r="AF2" s="4"/>
      <c r="AG2" s="97">
        <f>($E$2/3.9+IF($H$2="是",5,0)+IF($K$2="是",5,0))*0.25</f>
        <v>1.25</v>
      </c>
    </row>
    <row r="3" spans="1:33">
      <c r="A3" s="108" t="s">
        <v>21</v>
      </c>
      <c r="B3" s="108"/>
      <c r="C3" s="109">
        <v>70</v>
      </c>
      <c r="D3" s="110" t="s">
        <v>22</v>
      </c>
      <c r="E3" s="111" t="s">
        <v>3</v>
      </c>
      <c r="F3" s="112"/>
      <c r="G3" s="113" t="s">
        <v>23</v>
      </c>
      <c r="H3" s="106" t="s">
        <v>3</v>
      </c>
      <c r="I3" s="110" t="s">
        <v>24</v>
      </c>
      <c r="J3" s="110"/>
      <c r="K3" s="127">
        <v>5</v>
      </c>
      <c r="L3" s="110" t="s">
        <v>25</v>
      </c>
      <c r="M3" s="127" t="s">
        <v>5</v>
      </c>
      <c r="N3" s="127"/>
      <c r="O3" s="123" t="s">
        <v>65</v>
      </c>
      <c r="P3" s="124" t="s">
        <v>3</v>
      </c>
      <c r="Q3" s="85"/>
      <c r="R3" s="85"/>
      <c r="S3" s="88"/>
      <c r="T3" s="128"/>
      <c r="Y3" s="7" t="s">
        <v>26</v>
      </c>
      <c r="Z3" s="7"/>
      <c r="AA3" s="5">
        <f>10*$C$1</f>
        <v>18</v>
      </c>
      <c r="AB3" s="7" t="s">
        <v>27</v>
      </c>
      <c r="AC3" s="7"/>
      <c r="AD3" s="8">
        <f>$C$1/3.5*0.04+(0.01*$C$1)*0</f>
        <v>0.0205714285714286</v>
      </c>
      <c r="AE3" s="4" t="s">
        <v>28</v>
      </c>
      <c r="AF3" s="4"/>
      <c r="AG3" s="97">
        <f>$E$1/15.8+IF($H$1="是",3,0)+IF($K$3="是",1,0)</f>
        <v>3</v>
      </c>
    </row>
    <row r="4" spans="1:33">
      <c r="A4" s="114" t="s">
        <v>29</v>
      </c>
      <c r="B4" s="115" t="s">
        <v>30</v>
      </c>
      <c r="C4" s="115" t="s">
        <v>31</v>
      </c>
      <c r="D4" s="116" t="s">
        <v>32</v>
      </c>
      <c r="E4" s="114" t="s">
        <v>29</v>
      </c>
      <c r="F4" s="115" t="s">
        <v>30</v>
      </c>
      <c r="G4" s="115" t="s">
        <v>31</v>
      </c>
      <c r="H4" s="116" t="s">
        <v>32</v>
      </c>
      <c r="I4" s="114" t="s">
        <v>29</v>
      </c>
      <c r="J4" s="115" t="s">
        <v>30</v>
      </c>
      <c r="K4" s="115" t="s">
        <v>31</v>
      </c>
      <c r="L4" s="116" t="s">
        <v>32</v>
      </c>
      <c r="M4" s="114" t="s">
        <v>29</v>
      </c>
      <c r="N4" s="115" t="s">
        <v>30</v>
      </c>
      <c r="O4" s="115" t="s">
        <v>31</v>
      </c>
      <c r="P4" s="116" t="s">
        <v>32</v>
      </c>
      <c r="Y4" s="4" t="s">
        <v>33</v>
      </c>
      <c r="Z4" s="4"/>
      <c r="AA4" s="100">
        <f>120</f>
        <v>120</v>
      </c>
      <c r="AB4" s="4" t="s">
        <v>34</v>
      </c>
      <c r="AC4" s="4"/>
      <c r="AD4" s="6">
        <f>0.43</f>
        <v>0.43</v>
      </c>
      <c r="AE4" s="4" t="s">
        <v>35</v>
      </c>
      <c r="AF4" s="4"/>
      <c r="AG4" s="98">
        <f>IF(P2="是",1,"unknow")</f>
        <v>1</v>
      </c>
    </row>
    <row r="5" spans="1:33">
      <c r="A5" s="51"/>
      <c r="B5" s="49"/>
      <c r="C5" s="49"/>
      <c r="D5" s="50"/>
      <c r="E5" s="51"/>
      <c r="F5" s="49"/>
      <c r="G5" s="49"/>
      <c r="H5" s="50"/>
      <c r="I5" s="51"/>
      <c r="J5" s="49"/>
      <c r="K5" s="49"/>
      <c r="L5" s="50"/>
      <c r="M5" s="51"/>
      <c r="N5" s="49"/>
      <c r="O5" s="49"/>
      <c r="P5" s="50"/>
      <c r="Y5" s="7" t="s">
        <v>36</v>
      </c>
      <c r="Z5" s="7"/>
      <c r="AA5" s="5">
        <f>150/5</f>
        <v>30</v>
      </c>
      <c r="AB5" s="7" t="s">
        <v>37</v>
      </c>
      <c r="AC5" s="7"/>
      <c r="AD5" s="8">
        <f>0.047+(0.18/5*0)</f>
        <v>0.047</v>
      </c>
      <c r="AE5" s="4" t="s">
        <v>38</v>
      </c>
      <c r="AF5" s="4"/>
      <c r="AG5" s="91">
        <f>$C$2+IF($M$1="是",80,0)+IF($M$2="是",42,0)+IF($M$3="是",101,0)</f>
        <v>200</v>
      </c>
    </row>
    <row r="6" spans="1:33">
      <c r="A6" s="56">
        <f t="shared" ref="A6:A30" si="0">(ROW(A6)-5)+(QUOTIENT(COLUMN(A6),3)*25)</f>
        <v>1</v>
      </c>
      <c r="B6" s="53">
        <f>$C$1*((ROW(B6)-5)+(QUOTIENT(COLUMN(B6),4)*25))</f>
        <v>1.8</v>
      </c>
      <c r="C6" s="117">
        <f>(ROUND((A6+1)*$AA$7,0)*$AA$8+QUOTIENT(B6,$AD$6)*$AA$9)*IF($K$1="是",IF(MOD(B6,360)&lt;=20,1.3,1),1)</f>
        <v>181</v>
      </c>
      <c r="D6" s="118">
        <f>(($AA$12*MIN(QUOTIENT(B6,2),5))*(MIN(QUOTIENT(B6,2),5)+1)/2)+(MAX((QUOTIENT(B6,2)-5),0)*($AA$12*5))</f>
        <v>0</v>
      </c>
      <c r="E6" s="56">
        <f t="shared" ref="E6:E30" si="1">(ROW(E6)-5)+(QUOTIENT(COLUMN(E6),3)*25)</f>
        <v>26</v>
      </c>
      <c r="F6" s="53">
        <f>$C$1*((ROW(F6)-5)+(QUOTIENT(COLUMN(F6),4)*25))</f>
        <v>46.8</v>
      </c>
      <c r="G6" s="117">
        <f>C30+(ROUND($AA$7*$AA$8,0)+(QUOTIENT(F6,$AD$6)-QUOTIENT(B30,$AD$6))*$AA$9)*IF($K$1="是",IF(MOD(F6,360)&lt;=20,1.3,1),1)</f>
        <v>4058.4</v>
      </c>
      <c r="H6" s="118">
        <f>D30+(((QUOTIENT(F6,3)-QUOTIENT(B30,3))*MIN(ROUND(E6*$AA$6,0),5)*$AA$12*(1+$K$3/100))+(QUOTIENT(F6,$AD$6)-QUOTIENT(B30,$AD$6))*$AA$11*MIN(ROUND((E6+1)*$AA$6,0),5)+IF(ROUND((E6+1)*$AA$6,0)&gt;5,$AA$10*$AA$6,0))*IF($K$1="是",IF(MOD(F6,360)&lt;=20,1.3,1),1)</f>
        <v>7185.81</v>
      </c>
      <c r="I6" s="56">
        <v>51</v>
      </c>
      <c r="J6" s="53">
        <f>$C$1*((ROW(J6)-5)+(QUOTIENT(COLUMN(J6),4)*25))</f>
        <v>91.8</v>
      </c>
      <c r="K6" s="117">
        <f>G30+(ROUND($AA$7*$AA$8,0)+(QUOTIENT(J6,$AD$6)-QUOTIENT(F30,$AD$6))*$AA$9)*IF($K$1="是",IF(MOD(J6,360)&lt;=20,1.3,1),1)</f>
        <v>8336.4</v>
      </c>
      <c r="L6" s="118">
        <f>H30+(((QUOTIENT(J6,3)-QUOTIENT(F30,3))*MIN(ROUND(I6*$AA$6,0),5)*$AA$12*(1+$K$3/100))+(QUOTIENT(J6,$AD$6)-QUOTIENT(F30,$AD$6))*$AA$11*MIN(ROUND((I6+1)*$AA$6,0),5)+IF(ROUND((I6+1)*$AA$6,0)&gt;5,$AA$10*$AA$6,0))*IF($K$1="是",IF(MOD(J6,360)&lt;=20,1.3,1),1)</f>
        <v>16201.56</v>
      </c>
      <c r="M6" s="56">
        <v>76</v>
      </c>
      <c r="N6" s="53">
        <f>$C$1*((ROW(N6)-5)+(QUOTIENT(COLUMN(N6),4)*25))</f>
        <v>136.8</v>
      </c>
      <c r="O6" s="117">
        <f>K30+(ROUND($AA$7*$AA$8,0)+(QUOTIENT(N6,$AD$6)-QUOTIENT(J30,$AD$6))*$AA$9)*IF($K$1="是",IF(MOD(N6,360)&lt;=20,1.3,1),1)</f>
        <v>12213.8</v>
      </c>
      <c r="P6" s="118">
        <f>L30+(((QUOTIENT(N6,3)-QUOTIENT(J30,3))*MIN(ROUND(M6*$AA$6,0),5)*$AA$12*(1+$K$3/100))+(QUOTIENT(N6,$AD$6)-QUOTIENT(J30,$AD$6))*$AA$11*MIN(ROUND((M6+1)*$AA$6,0),5)+IF(ROUND((M6+1)*$AA$6,0)&gt;5,$AA$10*$AA$6,0))*IF($K$1="是",IF(MOD(N6,360)&lt;=20,1.3,1),1)</f>
        <v>24135.81</v>
      </c>
      <c r="Y6" s="4" t="s">
        <v>39</v>
      </c>
      <c r="Z6" s="4"/>
      <c r="AA6" s="91">
        <f>20/60*$C$1*AG4</f>
        <v>0.6</v>
      </c>
      <c r="AB6" s="4" t="s">
        <v>40</v>
      </c>
      <c r="AC6" s="4"/>
      <c r="AD6" s="91">
        <f>10-$K$2</f>
        <v>10</v>
      </c>
      <c r="AE6" s="4" t="s">
        <v>41</v>
      </c>
      <c r="AF6" s="4"/>
      <c r="AG6" s="91"/>
    </row>
    <row r="7" spans="1:33">
      <c r="A7" s="56">
        <f t="shared" si="0"/>
        <v>2</v>
      </c>
      <c r="B7" s="53">
        <f>$C$1*((ROW(B7)-5)+(QUOTIENT(COLUMN(B7),4)*25))</f>
        <v>3.6</v>
      </c>
      <c r="C7" s="117">
        <f>C6+(ROUND($AA$7*$AA$8,0)+(QUOTIENT(B7,$AD$6)-QUOTIENT(B6,$AD$6))*$AA$9)*IF($K$1="是",IF(MOD(B7,360)&lt;=20,1.3,1),1)</f>
        <v>272</v>
      </c>
      <c r="D7" s="118">
        <f>D6+(((QUOTIENT(B7,3)-QUOTIENT(B6,3))*MIN(ROUND(A7*$AA$6,0),5)*$AA$12*(1+$K$3/100))+(QUOTIENT(B7,$AD$6)-QUOTIENT(B6,$AD$6))*$AA$11*MIN(ROUND((A7+1)*$AA$6,0),5)+IF(ROUND((A7+1)*$AA$6,0)&gt;5,$AA$10*$AA$6,0))*IF($K$1="是",IF(MOD(B7,360)&lt;=20,1.3,1),1)</f>
        <v>43.47</v>
      </c>
      <c r="E7" s="56">
        <f t="shared" si="1"/>
        <v>27</v>
      </c>
      <c r="F7" s="53">
        <f>$C$1*((ROW(F7)-5)+(QUOTIENT(COLUMN(F7),4)*25))</f>
        <v>48.6</v>
      </c>
      <c r="G7" s="117">
        <f>G6+(ROUND($AA$7*$AA$8,0)+(QUOTIENT(F7,$AD$6)-QUOTIENT(F6,$AD$6))*$AA$9)*IF($K$1="是",IF(MOD(F7,360)&lt;=20,1.3,1),1)</f>
        <v>4149.4</v>
      </c>
      <c r="H7" s="118">
        <f>H6+(((QUOTIENT(F7,3)-QUOTIENT(F6,3))*MIN(ROUND(E7*$AA$6,0),5)*$AA$12*(1+$K$3/100))+(QUOTIENT(F7,$AD$6)-QUOTIENT(F6,$AD$6))*$AA$11*MIN(ROUND((E7+1)*$AA$6,0),5)+IF(ROUND((E7+1)*$AA$6,0)&gt;5,$AA$10*$AA$6,0))*IF($K$1="是",IF(MOD(F7,360)&lt;=20,1.3,1),1)</f>
        <v>7417.08</v>
      </c>
      <c r="I7" s="56">
        <v>52</v>
      </c>
      <c r="J7" s="53">
        <f>$C$1*((ROW(J7)-5)+(QUOTIENT(COLUMN(J7),4)*25))</f>
        <v>93.6</v>
      </c>
      <c r="K7" s="117">
        <f>K6+(ROUND($AA$7*$AA$8,0)+(QUOTIENT(J7,$AD$6)-QUOTIENT(J6,$AD$6))*$AA$9)*IF($K$1="是",IF(MOD(J7,360)&lt;=20,1.3,1),1)</f>
        <v>8427.4</v>
      </c>
      <c r="L7" s="118">
        <f>L6+(((QUOTIENT(J7,3)-QUOTIENT(J6,3))*MIN(ROUND(I7*$AA$6,0),5)*$AA$12*(1+$K$3/100))+(QUOTIENT(J7,$AD$6)-QUOTIENT(J6,$AD$6))*$AA$11*MIN(ROUND((I7+1)*$AA$6,0),5)+IF(ROUND((I7+1)*$AA$6,0)&gt;5,$AA$10*$AA$6,0))*IF($K$1="是",IF(MOD(J7,360)&lt;=20,1.3,1),1)</f>
        <v>16432.83</v>
      </c>
      <c r="M7" s="56">
        <v>77</v>
      </c>
      <c r="N7" s="53">
        <f>$C$1*((ROW(N7)-5)+(QUOTIENT(COLUMN(N7),4)*25))</f>
        <v>138.6</v>
      </c>
      <c r="O7" s="117">
        <f>O6+(ROUND($AA$7*$AA$8,0)+(QUOTIENT(N7,$AD$6)-QUOTIENT(N6,$AD$6))*$AA$9)*IF($K$1="是",IF(MOD(N7,360)&lt;=20,1.3,1),1)</f>
        <v>12304.8</v>
      </c>
      <c r="P7" s="118">
        <f>P6+(((QUOTIENT(N7,3)-QUOTIENT(N6,3))*MIN(ROUND(M7*$AA$6,0),5)*$AA$12*(1+$K$3/100))+(QUOTIENT(N7,$AD$6)-QUOTIENT(N6,$AD$6))*$AA$11*MIN(ROUND((M7+1)*$AA$6,0),5)+IF(ROUND((M7+1)*$AA$6,0)&gt;5,$AA$10*$AA$6,0))*IF($K$1="是",IF(MOD(N7,360)&lt;=20,1.3,1),1)</f>
        <v>24367.08</v>
      </c>
      <c r="Y7" s="4" t="s">
        <v>42</v>
      </c>
      <c r="Z7" s="4"/>
      <c r="AA7" s="91">
        <f>AG4</f>
        <v>1</v>
      </c>
      <c r="AB7" s="4" t="s">
        <v>43</v>
      </c>
      <c r="AC7" s="4"/>
      <c r="AD7" s="91"/>
      <c r="AE7" s="4" t="s">
        <v>44</v>
      </c>
      <c r="AF7" s="4"/>
      <c r="AG7" s="91"/>
    </row>
    <row r="8" spans="1:27">
      <c r="A8" s="56">
        <f t="shared" si="0"/>
        <v>3</v>
      </c>
      <c r="B8" s="53">
        <f>$C$1*((ROW(B8)-5)+(QUOTIENT(COLUMN(B8),4)*25))</f>
        <v>5.4</v>
      </c>
      <c r="C8" s="117">
        <f t="shared" ref="C8:C28" si="2">C7+(ROUND($AA$7*$AA$8,0)+(QUOTIENT(B8,$AD$6)-QUOTIENT(B7,$AD$6))*$AA$9)*IF($K$1="是",IF(MOD(B8,360)&lt;=20,1.3,1),1)</f>
        <v>363</v>
      </c>
      <c r="D8" s="118">
        <f t="shared" ref="D8:D30" si="3">D7+(((QUOTIENT(B8,3)-QUOTIENT(B7,3))*MIN(ROUND(A8*$AA$6,0),5)*$AA$12*(1+$K$3/100))+(QUOTIENT(B8,$AD$6)-QUOTIENT(B7,$AD$6))*$AA$11*MIN(ROUND((A8+1)*$AA$6,0),5)+IF(ROUND((A8+1)*$AA$6,0)&gt;5,$AA$10*$AA$6,0))*IF($K$1="是",IF(MOD(B8,360)&lt;=20,1.3,1),1)</f>
        <v>43.47</v>
      </c>
      <c r="E8" s="56">
        <f t="shared" si="1"/>
        <v>28</v>
      </c>
      <c r="F8" s="53">
        <f>$C$1*((ROW(F8)-5)+(QUOTIENT(COLUMN(F8),4)*25))</f>
        <v>50.4</v>
      </c>
      <c r="G8" s="117">
        <f t="shared" ref="G8:G30" si="4">G7+(ROUND($AA$7*$AA$8,0)+(QUOTIENT(F8,$AD$6)-QUOTIENT(F7,$AD$6))*$AA$9)*IF($K$1="是",IF(MOD(F8,360)&lt;=20,1.3,1),1)</f>
        <v>4641</v>
      </c>
      <c r="H8" s="118">
        <f t="shared" ref="H8:H30" si="5">H7+(((QUOTIENT(F8,3)-QUOTIENT(F7,3))*MIN(ROUND(E8*$AA$6,0),5)*$AA$12*(1+$K$3/100))+(QUOTIENT(F8,$AD$6)-QUOTIENT(F7,$AD$6))*$AA$11*MIN(ROUND((E8+1)*$AA$6,0),5)+IF(ROUND((E8+1)*$AA$6,0)&gt;5,$AA$10*$AA$6,0))*IF($K$1="是",IF(MOD(F8,360)&lt;=20,1.3,1),1)</f>
        <v>8512.5</v>
      </c>
      <c r="I8" s="56">
        <v>53</v>
      </c>
      <c r="J8" s="53">
        <f>$C$1*((ROW(J8)-5)+(QUOTIENT(COLUMN(J8),4)*25))</f>
        <v>95.4</v>
      </c>
      <c r="K8" s="117">
        <f>K7+(ROUND($AA$7*$AA$8,0)+(QUOTIENT(J8,$AD$6)-QUOTIENT(J7,$AD$6))*$AA$9)*IF($K$1="是",IF(MOD(J8,360)&lt;=20,1.3,1),1)</f>
        <v>8518.4</v>
      </c>
      <c r="L8" s="118">
        <f>L7+(((QUOTIENT(J8,3)-QUOTIENT(J7,3))*MIN(ROUND(I8*$AA$6,0),5)*$AA$12*(1+$K$3/100))+(QUOTIENT(J8,$AD$6)-QUOTIENT(J7,$AD$6))*$AA$11*MIN(ROUND((I8+1)*$AA$6,0),5)+IF(ROUND((I8+1)*$AA$6,0)&gt;5,$AA$10*$AA$6,0))*IF($K$1="是",IF(MOD(J8,360)&lt;=20,1.3,1),1)</f>
        <v>16446.75</v>
      </c>
      <c r="M8" s="56">
        <v>78</v>
      </c>
      <c r="N8" s="53">
        <f>$C$1*((ROW(N8)-5)+(QUOTIENT(COLUMN(N8),4)*25))</f>
        <v>140.4</v>
      </c>
      <c r="O8" s="117">
        <f>O7+(ROUND($AA$7*$AA$8,0)+(QUOTIENT(N8,$AD$6)-QUOTIENT(N7,$AD$6))*$AA$9)*IF($K$1="是",IF(MOD(N8,360)&lt;=20,1.3,1),1)</f>
        <v>12796.4</v>
      </c>
      <c r="P8" s="118">
        <f>P7+(((QUOTIENT(N8,3)-QUOTIENT(N7,3))*MIN(ROUND(M8*$AA$6,0),5)*$AA$12*(1+$K$3/100))+(QUOTIENT(N8,$AD$6)-QUOTIENT(N7,$AD$6))*$AA$11*MIN(ROUND((M8+1)*$AA$6,0),5)+IF(ROUND((M8+1)*$AA$6,0)&gt;5,$AA$10*$AA$6,0))*IF($K$1="是",IF(MOD(N8,360)&lt;=20,1.3,1),1)</f>
        <v>25462.5</v>
      </c>
      <c r="Y8" s="12" t="s">
        <v>45</v>
      </c>
      <c r="Z8" s="12"/>
      <c r="AA8">
        <f>ROUND((AA1+AD1*AG5)*(1+$K$3/100),1)</f>
        <v>90.5</v>
      </c>
    </row>
    <row r="9" spans="1:27">
      <c r="A9" s="56">
        <f t="shared" si="0"/>
        <v>4</v>
      </c>
      <c r="B9" s="53">
        <f>$C$1*((ROW(B9)-5)+(QUOTIENT(COLUMN(B9),4)*25))</f>
        <v>7.2</v>
      </c>
      <c r="C9" s="117">
        <f t="shared" si="2"/>
        <v>454</v>
      </c>
      <c r="D9" s="118">
        <f t="shared" si="3"/>
        <v>130.41</v>
      </c>
      <c r="E9" s="56">
        <f t="shared" si="1"/>
        <v>29</v>
      </c>
      <c r="F9" s="53">
        <f>$C$1*((ROW(F9)-5)+(QUOTIENT(COLUMN(F9),4)*25))</f>
        <v>52.2</v>
      </c>
      <c r="G9" s="117">
        <f t="shared" si="4"/>
        <v>4732</v>
      </c>
      <c r="H9" s="118">
        <f t="shared" si="5"/>
        <v>8743.77</v>
      </c>
      <c r="I9" s="56">
        <v>54</v>
      </c>
      <c r="J9" s="53">
        <f>$C$1*((ROW(J9)-5)+(QUOTIENT(COLUMN(J9),4)*25))</f>
        <v>97.2</v>
      </c>
      <c r="K9" s="117">
        <f>K8+(ROUND($AA$7*$AA$8,0)+(QUOTIENT(J9,$AD$6)-QUOTIENT(J8,$AD$6))*$AA$9)*IF($K$1="是",IF(MOD(J9,360)&lt;=20,1.3,1),1)</f>
        <v>8609.4</v>
      </c>
      <c r="L9" s="118">
        <f>L8+(((QUOTIENT(J9,3)-QUOTIENT(J8,3))*MIN(ROUND(I9*$AA$6,0),5)*$AA$12*(1+$K$3/100))+(QUOTIENT(J9,$AD$6)-QUOTIENT(J8,$AD$6))*$AA$11*MIN(ROUND((I9+1)*$AA$6,0),5)+IF(ROUND((I9+1)*$AA$6,0)&gt;5,$AA$10*$AA$6,0))*IF($K$1="是",IF(MOD(J9,360)&lt;=20,1.3,1),1)</f>
        <v>16678.02</v>
      </c>
      <c r="M9" s="56">
        <v>79</v>
      </c>
      <c r="N9" s="53">
        <f>$C$1*((ROW(N9)-5)+(QUOTIENT(COLUMN(N9),4)*25))</f>
        <v>142.2</v>
      </c>
      <c r="O9" s="117">
        <f>O8+(ROUND($AA$7*$AA$8,0)+(QUOTIENT(N9,$AD$6)-QUOTIENT(N8,$AD$6))*$AA$9)*IF($K$1="是",IF(MOD(N9,360)&lt;=20,1.3,1),1)</f>
        <v>12887.4</v>
      </c>
      <c r="P9" s="118">
        <f>P8+(((QUOTIENT(N9,3)-QUOTIENT(N8,3))*MIN(ROUND(M9*$AA$6,0),5)*$AA$12*(1+$K$3/100))+(QUOTIENT(N9,$AD$6)-QUOTIENT(N8,$AD$6))*$AA$11*MIN(ROUND((M9+1)*$AA$6,0),5)+IF(ROUND((M9+1)*$AA$6,0)&gt;5,$AA$10*$AA$6,0))*IF($K$1="是",IF(MOD(N9,360)&lt;=20,1.3,1),1)</f>
        <v>25693.77</v>
      </c>
      <c r="T9" t="s">
        <v>66</v>
      </c>
      <c r="Y9" s="12" t="s">
        <v>46</v>
      </c>
      <c r="Z9" s="12"/>
      <c r="AA9">
        <f>ROUND((AA2+AD2*AG5)*(1+$K$3/100),1)</f>
        <v>400.6</v>
      </c>
    </row>
    <row r="10" spans="1:27">
      <c r="A10" s="56">
        <f t="shared" si="0"/>
        <v>5</v>
      </c>
      <c r="B10" s="53">
        <f>$C$1*((ROW(B10)-5)+(QUOTIENT(COLUMN(B10),4)*25))</f>
        <v>9</v>
      </c>
      <c r="C10" s="117">
        <f t="shared" si="2"/>
        <v>545</v>
      </c>
      <c r="D10" s="118">
        <f t="shared" si="3"/>
        <v>260.82</v>
      </c>
      <c r="E10" s="56">
        <f t="shared" si="1"/>
        <v>30</v>
      </c>
      <c r="F10" s="53">
        <f>$C$1*((ROW(F10)-5)+(QUOTIENT(COLUMN(F10),4)*25))</f>
        <v>54</v>
      </c>
      <c r="G10" s="117">
        <f t="shared" si="4"/>
        <v>4823</v>
      </c>
      <c r="H10" s="118">
        <f t="shared" si="5"/>
        <v>8975.04</v>
      </c>
      <c r="I10" s="56">
        <v>55</v>
      </c>
      <c r="J10" s="53">
        <f>$C$1*((ROW(J10)-5)+(QUOTIENT(COLUMN(J10),4)*25))</f>
        <v>99</v>
      </c>
      <c r="K10" s="117">
        <f>K9+(ROUND($AA$7*$AA$8,0)+(QUOTIENT(J10,$AD$6)-QUOTIENT(J9,$AD$6))*$AA$9)*IF($K$1="是",IF(MOD(J10,360)&lt;=20,1.3,1),1)</f>
        <v>8700.4</v>
      </c>
      <c r="L10" s="118">
        <f>L9+(((QUOTIENT(J10,3)-QUOTIENT(J9,3))*MIN(ROUND(I10*$AA$6,0),5)*$AA$12*(1+$K$3/100))+(QUOTIENT(J10,$AD$6)-QUOTIENT(J9,$AD$6))*$AA$11*MIN(ROUND((I10+1)*$AA$6,0),5)+IF(ROUND((I10+1)*$AA$6,0)&gt;5,$AA$10*$AA$6,0))*IF($K$1="是",IF(MOD(J10,360)&lt;=20,1.3,1),1)</f>
        <v>16909.29</v>
      </c>
      <c r="M10" s="56">
        <v>80</v>
      </c>
      <c r="N10" s="53">
        <f>$C$1*((ROW(N10)-5)+(QUOTIENT(COLUMN(N10),4)*25))</f>
        <v>144</v>
      </c>
      <c r="O10" s="117">
        <f>O9+(ROUND($AA$7*$AA$8,0)+(QUOTIENT(N10,$AD$6)-QUOTIENT(N9,$AD$6))*$AA$9)*IF($K$1="是",IF(MOD(N10,360)&lt;=20,1.3,1),1)</f>
        <v>12978.4</v>
      </c>
      <c r="P10" s="118">
        <f>P9+(((QUOTIENT(N10,3)-QUOTIENT(N9,3))*MIN(ROUND(M10*$AA$6,0),5)*$AA$12*(1+$K$3/100))+(QUOTIENT(N10,$AD$6)-QUOTIENT(N9,$AD$6))*$AA$11*MIN(ROUND((M10+1)*$AA$6,0),5)+IF(ROUND((M10+1)*$AA$6,0)&gt;5,$AA$10*$AA$6,0))*IF($K$1="是",IF(MOD(N10,360)&lt;=20,1.3,1),1)</f>
        <v>25925.04</v>
      </c>
      <c r="T10" t="s">
        <v>67</v>
      </c>
      <c r="Y10" s="12" t="s">
        <v>47</v>
      </c>
      <c r="Z10" s="12"/>
      <c r="AA10">
        <f>ROUND((AA3+AD3*AG5)*(1+$K$3/100),1)</f>
        <v>23.2</v>
      </c>
    </row>
    <row r="11" spans="1:27">
      <c r="A11" s="56">
        <f t="shared" si="0"/>
        <v>6</v>
      </c>
      <c r="B11" s="53">
        <f>$C$1*((ROW(B11)-5)+(QUOTIENT(COLUMN(B11),4)*25))</f>
        <v>10.8</v>
      </c>
      <c r="C11" s="117">
        <f t="shared" si="2"/>
        <v>1036.6</v>
      </c>
      <c r="D11" s="118">
        <f t="shared" si="3"/>
        <v>1126.02</v>
      </c>
      <c r="E11" s="56">
        <f t="shared" si="1"/>
        <v>31</v>
      </c>
      <c r="F11" s="53">
        <f>$C$1*((ROW(F11)-5)+(QUOTIENT(COLUMN(F11),4)*25))</f>
        <v>55.8</v>
      </c>
      <c r="G11" s="117">
        <f t="shared" si="4"/>
        <v>4914</v>
      </c>
      <c r="H11" s="118">
        <f t="shared" si="5"/>
        <v>8988.96</v>
      </c>
      <c r="I11" s="56">
        <v>56</v>
      </c>
      <c r="J11" s="53">
        <f>$C$1*((ROW(J11)-5)+(QUOTIENT(COLUMN(J11),4)*25))</f>
        <v>100.8</v>
      </c>
      <c r="K11" s="117">
        <f>K10+(ROUND($AA$7*$AA$8,0)+(QUOTIENT(J11,$AD$6)-QUOTIENT(J10,$AD$6))*$AA$9)*IF($K$1="是",IF(MOD(J11,360)&lt;=20,1.3,1),1)</f>
        <v>9192</v>
      </c>
      <c r="L11" s="118">
        <f>L10+(((QUOTIENT(J11,3)-QUOTIENT(J10,3))*MIN(ROUND(I11*$AA$6,0),5)*$AA$12*(1+$K$3/100))+(QUOTIENT(J11,$AD$6)-QUOTIENT(J10,$AD$6))*$AA$11*MIN(ROUND((I11+1)*$AA$6,0),5)+IF(ROUND((I11+1)*$AA$6,0)&gt;5,$AA$10*$AA$6,0))*IF($K$1="是",IF(MOD(J11,360)&lt;=20,1.3,1),1)</f>
        <v>18004.71</v>
      </c>
      <c r="M11" s="56">
        <v>81</v>
      </c>
      <c r="N11" s="53">
        <f>$C$1*((ROW(N11)-5)+(QUOTIENT(COLUMN(N11),4)*25))</f>
        <v>145.8</v>
      </c>
      <c r="O11" s="117">
        <f>O10+(ROUND($AA$7*$AA$8,0)+(QUOTIENT(N11,$AD$6)-QUOTIENT(N10,$AD$6))*$AA$9)*IF($K$1="是",IF(MOD(N11,360)&lt;=20,1.3,1),1)</f>
        <v>13069.4</v>
      </c>
      <c r="P11" s="118">
        <f>P10+(((QUOTIENT(N11,3)-QUOTIENT(N10,3))*MIN(ROUND(M11*$AA$6,0),5)*$AA$12*(1+$K$3/100))+(QUOTIENT(N11,$AD$6)-QUOTIENT(N10,$AD$6))*$AA$11*MIN(ROUND((M11+1)*$AA$6,0),5)+IF(ROUND((M11+1)*$AA$6,0)&gt;5,$AA$10*$AA$6,0))*IF($K$1="是",IF(MOD(N11,360)&lt;=20,1.3,1),1)</f>
        <v>25938.96</v>
      </c>
      <c r="T11" t="s">
        <v>68</v>
      </c>
      <c r="Y11" s="12" t="s">
        <v>48</v>
      </c>
      <c r="Z11" s="12"/>
      <c r="AA11">
        <f>ROUND((AA4+AD4*AG5)*(1+$K$3/100),1)</f>
        <v>216.3</v>
      </c>
    </row>
    <row r="12" spans="1:27">
      <c r="A12" s="56">
        <f t="shared" si="0"/>
        <v>7</v>
      </c>
      <c r="B12" s="53">
        <f>$C$1*((ROW(B12)-5)+(QUOTIENT(COLUMN(B12),4)*25))</f>
        <v>12.6</v>
      </c>
      <c r="C12" s="117">
        <f t="shared" si="2"/>
        <v>1127.6</v>
      </c>
      <c r="D12" s="118">
        <f t="shared" si="3"/>
        <v>1299.9</v>
      </c>
      <c r="E12" s="56">
        <f t="shared" si="1"/>
        <v>32</v>
      </c>
      <c r="F12" s="53">
        <f>$C$1*((ROW(F12)-5)+(QUOTIENT(COLUMN(F12),4)*25))</f>
        <v>57.6</v>
      </c>
      <c r="G12" s="117">
        <f t="shared" si="4"/>
        <v>5005</v>
      </c>
      <c r="H12" s="118">
        <f t="shared" si="5"/>
        <v>9220.23</v>
      </c>
      <c r="I12" s="56">
        <v>57</v>
      </c>
      <c r="J12" s="53">
        <f>$C$1*((ROW(J12)-5)+(QUOTIENT(COLUMN(J12),4)*25))</f>
        <v>102.6</v>
      </c>
      <c r="K12" s="117">
        <f>K11+(ROUND($AA$7*$AA$8,0)+(QUOTIENT(J12,$AD$6)-QUOTIENT(J11,$AD$6))*$AA$9)*IF($K$1="是",IF(MOD(J12,360)&lt;=20,1.3,1),1)</f>
        <v>9283</v>
      </c>
      <c r="L12" s="118">
        <f>L11+(((QUOTIENT(J12,3)-QUOTIENT(J11,3))*MIN(ROUND(I12*$AA$6,0),5)*$AA$12*(1+$K$3/100))+(QUOTIENT(J12,$AD$6)-QUOTIENT(J11,$AD$6))*$AA$11*MIN(ROUND((I12+1)*$AA$6,0),5)+IF(ROUND((I12+1)*$AA$6,0)&gt;5,$AA$10*$AA$6,0))*IF($K$1="是",IF(MOD(J12,360)&lt;=20,1.3,1),1)</f>
        <v>18235.98</v>
      </c>
      <c r="M12" s="56">
        <v>82</v>
      </c>
      <c r="N12" s="53">
        <f>$C$1*((ROW(N12)-5)+(QUOTIENT(COLUMN(N12),4)*25))</f>
        <v>147.6</v>
      </c>
      <c r="O12" s="117">
        <f>O11+(ROUND($AA$7*$AA$8,0)+(QUOTIENT(N12,$AD$6)-QUOTIENT(N11,$AD$6))*$AA$9)*IF($K$1="是",IF(MOD(N12,360)&lt;=20,1.3,1),1)</f>
        <v>13160.4</v>
      </c>
      <c r="P12" s="118">
        <f>P11+(((QUOTIENT(N12,3)-QUOTIENT(N11,3))*MIN(ROUND(M12*$AA$6,0),5)*$AA$12*(1+$K$3/100))+(QUOTIENT(N12,$AD$6)-QUOTIENT(N11,$AD$6))*$AA$11*MIN(ROUND((M12+1)*$AA$6,0),5)+IF(ROUND((M12+1)*$AA$6,0)&gt;5,$AA$10*$AA$6,0))*IF($K$1="是",IF(MOD(N12,360)&lt;=20,1.3,1),1)</f>
        <v>26170.23</v>
      </c>
      <c r="T12" t="s">
        <v>69</v>
      </c>
      <c r="Y12" s="12" t="s">
        <v>49</v>
      </c>
      <c r="Z12" s="12"/>
      <c r="AA12">
        <f>ROUND((AA5+AD5*AG5)*(1+$K$3/100),1)</f>
        <v>41.4</v>
      </c>
    </row>
    <row r="13" spans="1:27">
      <c r="A13" s="56">
        <f t="shared" si="0"/>
        <v>8</v>
      </c>
      <c r="B13" s="53">
        <f>$C$1*((ROW(B13)-5)+(QUOTIENT(COLUMN(B13),4)*25))</f>
        <v>14.4</v>
      </c>
      <c r="C13" s="117">
        <f t="shared" si="2"/>
        <v>1218.6</v>
      </c>
      <c r="D13" s="118">
        <f t="shared" si="3"/>
        <v>1299.9</v>
      </c>
      <c r="E13" s="56">
        <f t="shared" si="1"/>
        <v>33</v>
      </c>
      <c r="F13" s="53">
        <f>$C$1*((ROW(F13)-5)+(QUOTIENT(COLUMN(F13),4)*25))</f>
        <v>59.4</v>
      </c>
      <c r="G13" s="117">
        <f t="shared" si="4"/>
        <v>5096</v>
      </c>
      <c r="H13" s="118">
        <f t="shared" si="5"/>
        <v>9234.15000000001</v>
      </c>
      <c r="I13" s="56">
        <v>58</v>
      </c>
      <c r="J13" s="53">
        <f>$C$1*((ROW(J13)-5)+(QUOTIENT(COLUMN(J13),4)*25))</f>
        <v>104.4</v>
      </c>
      <c r="K13" s="117">
        <f>K12+(ROUND($AA$7*$AA$8,0)+(QUOTIENT(J13,$AD$6)-QUOTIENT(J12,$AD$6))*$AA$9)*IF($K$1="是",IF(MOD(J13,360)&lt;=20,1.3,1),1)</f>
        <v>9374</v>
      </c>
      <c r="L13" s="118">
        <f>L12+(((QUOTIENT(J13,3)-QUOTIENT(J12,3))*MIN(ROUND(I13*$AA$6,0),5)*$AA$12*(1+$K$3/100))+(QUOTIENT(J13,$AD$6)-QUOTIENT(J12,$AD$6))*$AA$11*MIN(ROUND((I13+1)*$AA$6,0),5)+IF(ROUND((I13+1)*$AA$6,0)&gt;5,$AA$10*$AA$6,0))*IF($K$1="是",IF(MOD(J13,360)&lt;=20,1.3,1),1)</f>
        <v>18249.9</v>
      </c>
      <c r="M13" s="56">
        <v>83</v>
      </c>
      <c r="N13" s="53">
        <f>$C$1*((ROW(N13)-5)+(QUOTIENT(COLUMN(N13),4)*25))</f>
        <v>149.4</v>
      </c>
      <c r="O13" s="117">
        <f>O12+(ROUND($AA$7*$AA$8,0)+(QUOTIENT(N13,$AD$6)-QUOTIENT(N12,$AD$6))*$AA$9)*IF($K$1="是",IF(MOD(N13,360)&lt;=20,1.3,1),1)</f>
        <v>13251.4</v>
      </c>
      <c r="P13" s="118">
        <f>P12+(((QUOTIENT(N13,3)-QUOTIENT(N12,3))*MIN(ROUND(M13*$AA$6,0),5)*$AA$12*(1+$K$3/100))+(QUOTIENT(N13,$AD$6)-QUOTIENT(N12,$AD$6))*$AA$11*MIN(ROUND((M13+1)*$AA$6,0),5)+IF(ROUND((M13+1)*$AA$6,0)&gt;5,$AA$10*$AA$6,0))*IF($K$1="是",IF(MOD(N13,360)&lt;=20,1.3,1),1)</f>
        <v>26184.15</v>
      </c>
      <c r="T13" t="s">
        <v>70</v>
      </c>
      <c r="Y13" s="12" t="s">
        <v>50</v>
      </c>
      <c r="Z13" s="12"/>
      <c r="AA13">
        <f>AD5*AG5</f>
        <v>9.4</v>
      </c>
    </row>
    <row r="14" spans="1:20">
      <c r="A14" s="56">
        <f t="shared" si="0"/>
        <v>9</v>
      </c>
      <c r="B14" s="53">
        <f>$C$1*((ROW(B14)-5)+(QUOTIENT(COLUMN(B14),4)*25))</f>
        <v>16.2</v>
      </c>
      <c r="C14" s="117">
        <f t="shared" si="2"/>
        <v>1309.6</v>
      </c>
      <c r="D14" s="118">
        <f t="shared" si="3"/>
        <v>1531.17</v>
      </c>
      <c r="E14" s="56">
        <f t="shared" si="1"/>
        <v>34</v>
      </c>
      <c r="F14" s="53">
        <f>$C$1*((ROW(F14)-5)+(QUOTIENT(COLUMN(F14),4)*25))</f>
        <v>61.2</v>
      </c>
      <c r="G14" s="117">
        <f t="shared" si="4"/>
        <v>5587.6</v>
      </c>
      <c r="H14" s="118">
        <f t="shared" si="5"/>
        <v>10546.92</v>
      </c>
      <c r="I14" s="56">
        <v>59</v>
      </c>
      <c r="J14" s="53">
        <f>$C$1*((ROW(J14)-5)+(QUOTIENT(COLUMN(J14),4)*25))</f>
        <v>106.2</v>
      </c>
      <c r="K14" s="117">
        <f>K13+(ROUND($AA$7*$AA$8,0)+(QUOTIENT(J14,$AD$6)-QUOTIENT(J13,$AD$6))*$AA$9)*IF($K$1="是",IF(MOD(J14,360)&lt;=20,1.3,1),1)</f>
        <v>9465</v>
      </c>
      <c r="L14" s="118">
        <f>L13+(((QUOTIENT(J14,3)-QUOTIENT(J13,3))*MIN(ROUND(I14*$AA$6,0),5)*$AA$12*(1+$K$3/100))+(QUOTIENT(J14,$AD$6)-QUOTIENT(J13,$AD$6))*$AA$11*MIN(ROUND((I14+1)*$AA$6,0),5)+IF(ROUND((I14+1)*$AA$6,0)&gt;5,$AA$10*$AA$6,0))*IF($K$1="是",IF(MOD(J14,360)&lt;=20,1.3,1),1)</f>
        <v>18481.17</v>
      </c>
      <c r="M14" s="56">
        <v>84</v>
      </c>
      <c r="N14" s="53">
        <f>$C$1*((ROW(N14)-5)+(QUOTIENT(COLUMN(N14),4)*25))</f>
        <v>151.2</v>
      </c>
      <c r="O14" s="117">
        <f>O13+(ROUND($AA$7*$AA$8,0)+(QUOTIENT(N14,$AD$6)-QUOTIENT(N13,$AD$6))*$AA$9)*IF($K$1="是",IF(MOD(N14,360)&lt;=20,1.3,1),1)</f>
        <v>13743</v>
      </c>
      <c r="P14" s="118">
        <f>P13+(((QUOTIENT(N14,3)-QUOTIENT(N13,3))*MIN(ROUND(M14*$AA$6,0),5)*$AA$12*(1+$K$3/100))+(QUOTIENT(N14,$AD$6)-QUOTIENT(N13,$AD$6))*$AA$11*MIN(ROUND((M14+1)*$AA$6,0),5)+IF(ROUND((M14+1)*$AA$6,0)&gt;5,$AA$10*$AA$6,0))*IF($K$1="是",IF(MOD(N14,360)&lt;=20,1.3,1),1)</f>
        <v>27496.92</v>
      </c>
      <c r="T14" t="s">
        <v>71</v>
      </c>
    </row>
    <row r="15" spans="1:20">
      <c r="A15" s="56">
        <f t="shared" si="0"/>
        <v>10</v>
      </c>
      <c r="B15" s="53">
        <f>$C$1*((ROW(B15)-5)+(QUOTIENT(COLUMN(B15),4)*25))</f>
        <v>18</v>
      </c>
      <c r="C15" s="117">
        <f t="shared" si="2"/>
        <v>1400.6</v>
      </c>
      <c r="D15" s="118">
        <f t="shared" si="3"/>
        <v>1762.44</v>
      </c>
      <c r="E15" s="56">
        <f t="shared" si="1"/>
        <v>35</v>
      </c>
      <c r="F15" s="53">
        <f>$C$1*((ROW(F15)-5)+(QUOTIENT(COLUMN(F15),4)*25))</f>
        <v>63</v>
      </c>
      <c r="G15" s="117">
        <f t="shared" si="4"/>
        <v>5678.6</v>
      </c>
      <c r="H15" s="118">
        <f t="shared" si="5"/>
        <v>10778.19</v>
      </c>
      <c r="I15" s="56">
        <v>60</v>
      </c>
      <c r="J15" s="53">
        <f>$C$1*((ROW(J15)-5)+(QUOTIENT(COLUMN(J15),4)*25))</f>
        <v>108</v>
      </c>
      <c r="K15" s="117">
        <f>K14+(ROUND($AA$7*$AA$8,0)+(QUOTIENT(J15,$AD$6)-QUOTIENT(J14,$AD$6))*$AA$9)*IF($K$1="是",IF(MOD(J15,360)&lt;=20,1.3,1),1)</f>
        <v>9556</v>
      </c>
      <c r="L15" s="118">
        <f>L14+(((QUOTIENT(J15,3)-QUOTIENT(J14,3))*MIN(ROUND(I15*$AA$6,0),5)*$AA$12*(1+$K$3/100))+(QUOTIENT(J15,$AD$6)-QUOTIENT(J14,$AD$6))*$AA$11*MIN(ROUND((I15+1)*$AA$6,0),5)+IF(ROUND((I15+1)*$AA$6,0)&gt;5,$AA$10*$AA$6,0))*IF($K$1="是",IF(MOD(J15,360)&lt;=20,1.3,1),1)</f>
        <v>18712.44</v>
      </c>
      <c r="M15" s="56">
        <v>85</v>
      </c>
      <c r="N15" s="53">
        <f>$C$1*((ROW(N15)-5)+(QUOTIENT(COLUMN(N15),4)*25))</f>
        <v>153</v>
      </c>
      <c r="O15" s="117">
        <f>O14+(ROUND($AA$7*$AA$8,0)+(QUOTIENT(N15,$AD$6)-QUOTIENT(N14,$AD$6))*$AA$9)*IF($K$1="是",IF(MOD(N15,360)&lt;=20,1.3,1),1)</f>
        <v>13834</v>
      </c>
      <c r="P15" s="118">
        <f>P14+(((QUOTIENT(N15,3)-QUOTIENT(N14,3))*MIN(ROUND(M15*$AA$6,0),5)*$AA$12*(1+$K$3/100))+(QUOTIENT(N15,$AD$6)-QUOTIENT(N14,$AD$6))*$AA$11*MIN(ROUND((M15+1)*$AA$6,0),5)+IF(ROUND((M15+1)*$AA$6,0)&gt;5,$AA$10*$AA$6,0))*IF($K$1="是",IF(MOD(N15,360)&lt;=20,1.3,1),1)</f>
        <v>27728.19</v>
      </c>
      <c r="T15" t="s">
        <v>72</v>
      </c>
    </row>
    <row r="16" spans="1:32">
      <c r="A16" s="56">
        <f t="shared" si="0"/>
        <v>11</v>
      </c>
      <c r="B16" s="53">
        <f>$C$1*((ROW(B16)-5)+(QUOTIENT(COLUMN(B16),4)*25))</f>
        <v>19.8</v>
      </c>
      <c r="C16" s="117">
        <f t="shared" si="2"/>
        <v>1491.6</v>
      </c>
      <c r="D16" s="118">
        <f t="shared" si="3"/>
        <v>1776.36</v>
      </c>
      <c r="E16" s="56">
        <f t="shared" si="1"/>
        <v>36</v>
      </c>
      <c r="F16" s="53">
        <f>$C$1*((ROW(F16)-5)+(QUOTIENT(COLUMN(F16),4)*25))</f>
        <v>64.8</v>
      </c>
      <c r="G16" s="117">
        <f t="shared" si="4"/>
        <v>5769.6</v>
      </c>
      <c r="H16" s="118">
        <f t="shared" si="5"/>
        <v>10792.11</v>
      </c>
      <c r="I16" s="56">
        <v>61</v>
      </c>
      <c r="J16" s="53">
        <f>$C$1*((ROW(J16)-5)+(QUOTIENT(COLUMN(J16),4)*25))</f>
        <v>109.8</v>
      </c>
      <c r="K16" s="117">
        <f>K15+(ROUND($AA$7*$AA$8,0)+(QUOTIENT(J16,$AD$6)-QUOTIENT(J15,$AD$6))*$AA$9)*IF($K$1="是",IF(MOD(J16,360)&lt;=20,1.3,1),1)</f>
        <v>9647</v>
      </c>
      <c r="L16" s="118">
        <f>L15+(((QUOTIENT(J16,3)-QUOTIENT(J15,3))*MIN(ROUND(I16*$AA$6,0),5)*$AA$12*(1+$K$3/100))+(QUOTIENT(J16,$AD$6)-QUOTIENT(J15,$AD$6))*$AA$11*MIN(ROUND((I16+1)*$AA$6,0),5)+IF(ROUND((I16+1)*$AA$6,0)&gt;5,$AA$10*$AA$6,0))*IF($K$1="是",IF(MOD(J16,360)&lt;=20,1.3,1),1)</f>
        <v>18726.36</v>
      </c>
      <c r="M16" s="56">
        <v>86</v>
      </c>
      <c r="N16" s="53">
        <f>$C$1*((ROW(N16)-5)+(QUOTIENT(COLUMN(N16),4)*25))</f>
        <v>154.8</v>
      </c>
      <c r="O16" s="117">
        <f>O15+(ROUND($AA$7*$AA$8,0)+(QUOTIENT(N16,$AD$6)-QUOTIENT(N15,$AD$6))*$AA$9)*IF($K$1="是",IF(MOD(N16,360)&lt;=20,1.3,1),1)</f>
        <v>13925</v>
      </c>
      <c r="P16" s="118">
        <f>P15+(((QUOTIENT(N16,3)-QUOTIENT(N15,3))*MIN(ROUND(M16*$AA$6,0),5)*$AA$12*(1+$K$3/100))+(QUOTIENT(N16,$AD$6)-QUOTIENT(N15,$AD$6))*$AA$11*MIN(ROUND((M16+1)*$AA$6,0),5)+IF(ROUND((M16+1)*$AA$6,0)&gt;5,$AA$10*$AA$6,0))*IF($K$1="是",IF(MOD(N16,360)&lt;=20,1.3,1),1)</f>
        <v>27742.11</v>
      </c>
      <c r="T16" t="s">
        <v>51</v>
      </c>
      <c r="AC16">
        <v>132</v>
      </c>
      <c r="AD16">
        <f>AC16-AA1</f>
        <v>83.94</v>
      </c>
      <c r="AE16">
        <f>AD16/AG5</f>
        <v>0.4197</v>
      </c>
      <c r="AF16">
        <f>AE16/C1</f>
        <v>0.233166666666667</v>
      </c>
    </row>
    <row r="17" spans="1:32">
      <c r="A17" s="56">
        <f t="shared" si="0"/>
        <v>12</v>
      </c>
      <c r="B17" s="53">
        <f>$C$1*((ROW(B17)-5)+(QUOTIENT(COLUMN(B17),4)*25))</f>
        <v>21.6</v>
      </c>
      <c r="C17" s="117">
        <f t="shared" si="2"/>
        <v>1983.2</v>
      </c>
      <c r="D17" s="118">
        <f t="shared" si="3"/>
        <v>3089.13</v>
      </c>
      <c r="E17" s="56">
        <f t="shared" si="1"/>
        <v>37</v>
      </c>
      <c r="F17" s="53">
        <f>$C$1*((ROW(F17)-5)+(QUOTIENT(COLUMN(F17),4)*25))</f>
        <v>66.6</v>
      </c>
      <c r="G17" s="117">
        <f t="shared" si="4"/>
        <v>5860.6</v>
      </c>
      <c r="H17" s="118">
        <f t="shared" si="5"/>
        <v>11023.38</v>
      </c>
      <c r="I17" s="56">
        <v>62</v>
      </c>
      <c r="J17" s="53">
        <f>$C$1*((ROW(J17)-5)+(QUOTIENT(COLUMN(J17),4)*25))</f>
        <v>111.6</v>
      </c>
      <c r="K17" s="117">
        <f>K16+(ROUND($AA$7*$AA$8,0)+(QUOTIENT(J17,$AD$6)-QUOTIENT(J16,$AD$6))*$AA$9)*IF($K$1="是",IF(MOD(J17,360)&lt;=20,1.3,1),1)</f>
        <v>10138.6</v>
      </c>
      <c r="L17" s="118">
        <f>L16+(((QUOTIENT(J17,3)-QUOTIENT(J16,3))*MIN(ROUND(I17*$AA$6,0),5)*$AA$12*(1+$K$3/100))+(QUOTIENT(J17,$AD$6)-QUOTIENT(J16,$AD$6))*$AA$11*MIN(ROUND((I17+1)*$AA$6,0),5)+IF(ROUND((I17+1)*$AA$6,0)&gt;5,$AA$10*$AA$6,0))*IF($K$1="是",IF(MOD(J17,360)&lt;=20,1.3,1),1)</f>
        <v>20039.13</v>
      </c>
      <c r="M17" s="56">
        <v>87</v>
      </c>
      <c r="N17" s="53">
        <f>$C$1*((ROW(N17)-5)+(QUOTIENT(COLUMN(N17),4)*25))</f>
        <v>156.6</v>
      </c>
      <c r="O17" s="117">
        <f>O16+(ROUND($AA$7*$AA$8,0)+(QUOTIENT(N17,$AD$6)-QUOTIENT(N16,$AD$6))*$AA$9)*IF($K$1="是",IF(MOD(N17,360)&lt;=20,1.3,1),1)</f>
        <v>14016</v>
      </c>
      <c r="P17" s="118">
        <f>P16+(((QUOTIENT(N17,3)-QUOTIENT(N16,3))*MIN(ROUND(M17*$AA$6,0),5)*$AA$12*(1+$K$3/100))+(QUOTIENT(N17,$AD$6)-QUOTIENT(N16,$AD$6))*$AA$11*MIN(ROUND((M17+1)*$AA$6,0),5)+IF(ROUND((M17+1)*$AA$6,0)&gt;5,$AA$10*$AA$6,0))*IF($K$1="是",IF(MOD(N17,360)&lt;=20,1.3,1),1)</f>
        <v>27973.38</v>
      </c>
      <c r="T17" t="s">
        <v>73</v>
      </c>
      <c r="AC17">
        <v>126.5</v>
      </c>
      <c r="AD17">
        <f>AC17-AA1</f>
        <v>78.44</v>
      </c>
      <c r="AE17">
        <f>AD17/AG5</f>
        <v>0.3922</v>
      </c>
      <c r="AF17">
        <f>AE17/C2</f>
        <v>0.001961</v>
      </c>
    </row>
    <row r="18" spans="1:20">
      <c r="A18" s="56">
        <f t="shared" si="0"/>
        <v>13</v>
      </c>
      <c r="B18" s="53">
        <f>$C$1*((ROW(B18)-5)+(QUOTIENT(COLUMN(B18),4)*25))</f>
        <v>23.4</v>
      </c>
      <c r="C18" s="117">
        <f t="shared" si="2"/>
        <v>2074.2</v>
      </c>
      <c r="D18" s="118">
        <f t="shared" si="3"/>
        <v>3103.05</v>
      </c>
      <c r="E18" s="56">
        <f t="shared" si="1"/>
        <v>38</v>
      </c>
      <c r="F18" s="53">
        <f>$C$1*((ROW(F18)-5)+(QUOTIENT(COLUMN(F18),4)*25))</f>
        <v>68.4</v>
      </c>
      <c r="G18" s="117">
        <f t="shared" si="4"/>
        <v>5951.6</v>
      </c>
      <c r="H18" s="118">
        <f t="shared" si="5"/>
        <v>11037.3</v>
      </c>
      <c r="I18" s="56">
        <v>63</v>
      </c>
      <c r="J18" s="53">
        <f>$C$1*((ROW(J18)-5)+(QUOTIENT(COLUMN(J18),4)*25))</f>
        <v>113.4</v>
      </c>
      <c r="K18" s="117">
        <f>K17+(ROUND($AA$7*$AA$8,0)+(QUOTIENT(J18,$AD$6)-QUOTIENT(J17,$AD$6))*$AA$9)*IF($K$1="是",IF(MOD(J18,360)&lt;=20,1.3,1),1)</f>
        <v>10229.6</v>
      </c>
      <c r="L18" s="118">
        <f>L17+(((QUOTIENT(J18,3)-QUOTIENT(J17,3))*MIN(ROUND(I18*$AA$6,0),5)*$AA$12*(1+$K$3/100))+(QUOTIENT(J18,$AD$6)-QUOTIENT(J17,$AD$6))*$AA$11*MIN(ROUND((I18+1)*$AA$6,0),5)+IF(ROUND((I18+1)*$AA$6,0)&gt;5,$AA$10*$AA$6,0))*IF($K$1="是",IF(MOD(J18,360)&lt;=20,1.3,1),1)</f>
        <v>20053.05</v>
      </c>
      <c r="M18" s="56">
        <v>88</v>
      </c>
      <c r="N18" s="53">
        <f>$C$1*((ROW(N18)-5)+(QUOTIENT(COLUMN(N18),4)*25))</f>
        <v>158.4</v>
      </c>
      <c r="O18" s="117">
        <f>O17+(ROUND($AA$7*$AA$8,0)+(QUOTIENT(N18,$AD$6)-QUOTIENT(N17,$AD$6))*$AA$9)*IF($K$1="是",IF(MOD(N18,360)&lt;=20,1.3,1),1)</f>
        <v>14107</v>
      </c>
      <c r="P18" s="118">
        <f>P17+(((QUOTIENT(N18,3)-QUOTIENT(N17,3))*MIN(ROUND(M18*$AA$6,0),5)*$AA$12*(1+$K$3/100))+(QUOTIENT(N18,$AD$6)-QUOTIENT(N17,$AD$6))*$AA$11*MIN(ROUND((M18+1)*$AA$6,0),5)+IF(ROUND((M18+1)*$AA$6,0)&gt;5,$AA$10*$AA$6,0))*IF($K$1="是",IF(MOD(N18,360)&lt;=20,1.3,1),1)</f>
        <v>27987.3</v>
      </c>
      <c r="T18" t="s">
        <v>53</v>
      </c>
    </row>
    <row r="19" spans="1:30">
      <c r="A19" s="56">
        <f t="shared" si="0"/>
        <v>14</v>
      </c>
      <c r="B19" s="53">
        <f>$C$1*((ROW(B19)-5)+(QUOTIENT(COLUMN(B19),4)*25))</f>
        <v>25.2</v>
      </c>
      <c r="C19" s="117">
        <f t="shared" si="2"/>
        <v>2165.2</v>
      </c>
      <c r="D19" s="118">
        <f t="shared" si="3"/>
        <v>3334.32</v>
      </c>
      <c r="E19" s="56">
        <f t="shared" si="1"/>
        <v>39</v>
      </c>
      <c r="F19" s="53">
        <f>$C$1*((ROW(F19)-5)+(QUOTIENT(COLUMN(F19),4)*25))</f>
        <v>70.2</v>
      </c>
      <c r="G19" s="117">
        <f t="shared" si="4"/>
        <v>6443.2</v>
      </c>
      <c r="H19" s="118">
        <f t="shared" si="5"/>
        <v>12350.07</v>
      </c>
      <c r="I19" s="56">
        <v>64</v>
      </c>
      <c r="J19" s="53">
        <f>$C$1*((ROW(J19)-5)+(QUOTIENT(COLUMN(J19),4)*25))</f>
        <v>115.2</v>
      </c>
      <c r="K19" s="117">
        <f>K18+(ROUND($AA$7*$AA$8,0)+(QUOTIENT(J19,$AD$6)-QUOTIENT(J18,$AD$6))*$AA$9)*IF($K$1="是",IF(MOD(J19,360)&lt;=20,1.3,1),1)</f>
        <v>10320.6</v>
      </c>
      <c r="L19" s="118">
        <f>L18+(((QUOTIENT(J19,3)-QUOTIENT(J18,3))*MIN(ROUND(I19*$AA$6,0),5)*$AA$12*(1+$K$3/100))+(QUOTIENT(J19,$AD$6)-QUOTIENT(J18,$AD$6))*$AA$11*MIN(ROUND((I19+1)*$AA$6,0),5)+IF(ROUND((I19+1)*$AA$6,0)&gt;5,$AA$10*$AA$6,0))*IF($K$1="是",IF(MOD(J19,360)&lt;=20,1.3,1),1)</f>
        <v>20284.32</v>
      </c>
      <c r="M19" s="56">
        <v>89</v>
      </c>
      <c r="N19" s="53">
        <f>$C$1*((ROW(N19)-5)+(QUOTIENT(COLUMN(N19),4)*25))</f>
        <v>160.2</v>
      </c>
      <c r="O19" s="117">
        <f>O18+(ROUND($AA$7*$AA$8,0)+(QUOTIENT(N19,$AD$6)-QUOTIENT(N18,$AD$6))*$AA$9)*IF($K$1="是",IF(MOD(N19,360)&lt;=20,1.3,1),1)</f>
        <v>14598.6</v>
      </c>
      <c r="P19" s="118">
        <f>P18+(((QUOTIENT(N19,3)-QUOTIENT(N18,3))*MIN(ROUND(M19*$AA$6,0),5)*$AA$12*(1+$K$3/100))+(QUOTIENT(N19,$AD$6)-QUOTIENT(N18,$AD$6))*$AA$11*MIN(ROUND((M19+1)*$AA$6,0),5)+IF(ROUND((M19+1)*$AA$6,0)&gt;5,$AA$10*$AA$6,0))*IF($K$1="是",IF(MOD(N19,360)&lt;=20,1.3,1),1)</f>
        <v>29300.07</v>
      </c>
      <c r="T19" t="s">
        <v>54</v>
      </c>
      <c r="AA19">
        <f>26.7*AB19*1.05</f>
        <v>64.4805</v>
      </c>
      <c r="AB19">
        <v>2.3</v>
      </c>
      <c r="AC19">
        <v>63.5</v>
      </c>
      <c r="AD19">
        <f>AC19/1.05/AB19</f>
        <v>26.2939958592133</v>
      </c>
    </row>
    <row r="20" spans="1:30">
      <c r="A20" s="56">
        <f t="shared" si="0"/>
        <v>15</v>
      </c>
      <c r="B20" s="53">
        <f>$C$1*((ROW(B20)-5)+(QUOTIENT(COLUMN(B20),4)*25))</f>
        <v>27</v>
      </c>
      <c r="C20" s="117">
        <f t="shared" si="2"/>
        <v>2256.2</v>
      </c>
      <c r="D20" s="118">
        <f t="shared" si="3"/>
        <v>3565.59</v>
      </c>
      <c r="E20" s="56">
        <f t="shared" si="1"/>
        <v>40</v>
      </c>
      <c r="F20" s="53">
        <f>$C$1*((ROW(F20)-5)+(QUOTIENT(COLUMN(F20),4)*25))</f>
        <v>72</v>
      </c>
      <c r="G20" s="117">
        <f t="shared" si="4"/>
        <v>6534.2</v>
      </c>
      <c r="H20" s="118">
        <f t="shared" si="5"/>
        <v>12581.34</v>
      </c>
      <c r="I20" s="56">
        <v>65</v>
      </c>
      <c r="J20" s="53">
        <f>$C$1*((ROW(J20)-5)+(QUOTIENT(COLUMN(J20),4)*25))</f>
        <v>117</v>
      </c>
      <c r="K20" s="117">
        <f>K19+(ROUND($AA$7*$AA$8,0)+(QUOTIENT(J20,$AD$6)-QUOTIENT(J19,$AD$6))*$AA$9)*IF($K$1="是",IF(MOD(J20,360)&lt;=20,1.3,1),1)</f>
        <v>10411.6</v>
      </c>
      <c r="L20" s="118">
        <f>L19+(((QUOTIENT(J20,3)-QUOTIENT(J19,3))*MIN(ROUND(I20*$AA$6,0),5)*$AA$12*(1+$K$3/100))+(QUOTIENT(J20,$AD$6)-QUOTIENT(J19,$AD$6))*$AA$11*MIN(ROUND((I20+1)*$AA$6,0),5)+IF(ROUND((I20+1)*$AA$6,0)&gt;5,$AA$10*$AA$6,0))*IF($K$1="是",IF(MOD(J20,360)&lt;=20,1.3,1),1)</f>
        <v>20515.59</v>
      </c>
      <c r="M20" s="56">
        <v>90</v>
      </c>
      <c r="N20" s="53">
        <f>$C$1*((ROW(N20)-5)+(QUOTIENT(COLUMN(N20),4)*25))</f>
        <v>162</v>
      </c>
      <c r="O20" s="117">
        <f>O19+(ROUND($AA$7*$AA$8,0)+(QUOTIENT(N20,$AD$6)-QUOTIENT(N19,$AD$6))*$AA$9)*IF($K$1="是",IF(MOD(N20,360)&lt;=20,1.3,1),1)</f>
        <v>14689.6</v>
      </c>
      <c r="P20" s="118">
        <f>P19+(((QUOTIENT(N20,3)-QUOTIENT(N19,3))*MIN(ROUND(M20*$AA$6,0),5)*$AA$12*(1+$K$3/100))+(QUOTIENT(N20,$AD$6)-QUOTIENT(N19,$AD$6))*$AA$11*MIN(ROUND((M20+1)*$AA$6,0),5)+IF(ROUND((M20+1)*$AA$6,0)&gt;5,$AA$10*$AA$6,0))*IF($K$1="是",IF(MOD(N20,360)&lt;=20,1.3,1),1)</f>
        <v>29531.34</v>
      </c>
      <c r="T20" t="s">
        <v>55</v>
      </c>
      <c r="AA20">
        <f>26.7*AB20*1.05</f>
        <v>44.856</v>
      </c>
      <c r="AB20">
        <v>1.6</v>
      </c>
      <c r="AC20">
        <v>47.5</v>
      </c>
      <c r="AD20">
        <f>AC20/1.05/AB20</f>
        <v>28.2738095238095</v>
      </c>
    </row>
    <row r="21" spans="1:31">
      <c r="A21" s="56">
        <f t="shared" si="0"/>
        <v>16</v>
      </c>
      <c r="B21" s="53">
        <f>$C$1*((ROW(B21)-5)+(QUOTIENT(COLUMN(B21),4)*25))</f>
        <v>28.8</v>
      </c>
      <c r="C21" s="117">
        <f t="shared" si="2"/>
        <v>2347.2</v>
      </c>
      <c r="D21" s="118">
        <f t="shared" si="3"/>
        <v>3579.51</v>
      </c>
      <c r="E21" s="56">
        <f t="shared" si="1"/>
        <v>41</v>
      </c>
      <c r="F21" s="53">
        <f>$C$1*((ROW(F21)-5)+(QUOTIENT(COLUMN(F21),4)*25))</f>
        <v>73.8</v>
      </c>
      <c r="G21" s="117">
        <f t="shared" si="4"/>
        <v>6625.2</v>
      </c>
      <c r="H21" s="118">
        <f t="shared" si="5"/>
        <v>12595.26</v>
      </c>
      <c r="I21" s="56">
        <v>66</v>
      </c>
      <c r="J21" s="53">
        <f>$C$1*((ROW(J21)-5)+(QUOTIENT(COLUMN(J21),4)*25))</f>
        <v>118.8</v>
      </c>
      <c r="K21" s="117">
        <f>K20+(ROUND($AA$7*$AA$8,0)+(QUOTIENT(J21,$AD$6)-QUOTIENT(J20,$AD$6))*$AA$9)*IF($K$1="是",IF(MOD(J21,360)&lt;=20,1.3,1),1)</f>
        <v>10502.6</v>
      </c>
      <c r="L21" s="118">
        <f>L20+(((QUOTIENT(J21,3)-QUOTIENT(J20,3))*MIN(ROUND(I21*$AA$6,0),5)*$AA$12*(1+$K$3/100))+(QUOTIENT(J21,$AD$6)-QUOTIENT(J20,$AD$6))*$AA$11*MIN(ROUND((I21+1)*$AA$6,0),5)+IF(ROUND((I21+1)*$AA$6,0)&gt;5,$AA$10*$AA$6,0))*IF($K$1="是",IF(MOD(J21,360)&lt;=20,1.3,1),1)</f>
        <v>20529.51</v>
      </c>
      <c r="M21" s="56">
        <v>91</v>
      </c>
      <c r="N21" s="53">
        <f>$C$1*((ROW(N21)-5)+(QUOTIENT(COLUMN(N21),4)*25))</f>
        <v>163.8</v>
      </c>
      <c r="O21" s="117">
        <f>O20+(ROUND($AA$7*$AA$8,0)+(QUOTIENT(N21,$AD$6)-QUOTIENT(N20,$AD$6))*$AA$9)*IF($K$1="是",IF(MOD(N21,360)&lt;=20,1.3,1),1)</f>
        <v>14780.6</v>
      </c>
      <c r="P21" s="118">
        <f>P20+(((QUOTIENT(N21,3)-QUOTIENT(N20,3))*MIN(ROUND(M21*$AA$6,0),5)*$AA$12*(1+$K$3/100))+(QUOTIENT(N21,$AD$6)-QUOTIENT(N20,$AD$6))*$AA$11*MIN(ROUND((M21+1)*$AA$6,0),5)+IF(ROUND((M21+1)*$AA$6,0)&gt;5,$AA$10*$AA$6,0))*IF($K$1="是",IF(MOD(N21,360)&lt;=20,1.3,1),1)</f>
        <v>29545.26</v>
      </c>
      <c r="T21" t="s">
        <v>56</v>
      </c>
      <c r="AE21">
        <v>0.036</v>
      </c>
    </row>
    <row r="22" spans="1:22">
      <c r="A22" s="56">
        <f t="shared" si="0"/>
        <v>17</v>
      </c>
      <c r="B22" s="53">
        <f>$C$1*((ROW(B22)-5)+(QUOTIENT(COLUMN(B22),4)*25))</f>
        <v>30.6</v>
      </c>
      <c r="C22" s="117">
        <f t="shared" si="2"/>
        <v>2838.8</v>
      </c>
      <c r="D22" s="118">
        <f t="shared" si="3"/>
        <v>4892.28</v>
      </c>
      <c r="E22" s="56">
        <f t="shared" si="1"/>
        <v>42</v>
      </c>
      <c r="F22" s="53">
        <f>$C$1*((ROW(F22)-5)+(QUOTIENT(COLUMN(F22),4)*25))</f>
        <v>75.6</v>
      </c>
      <c r="G22" s="117">
        <f t="shared" si="4"/>
        <v>6716.2</v>
      </c>
      <c r="H22" s="118">
        <f t="shared" si="5"/>
        <v>12826.53</v>
      </c>
      <c r="I22" s="56">
        <v>67</v>
      </c>
      <c r="J22" s="53">
        <f>$C$1*((ROW(J22)-5)+(QUOTIENT(COLUMN(J22),4)*25))</f>
        <v>120.6</v>
      </c>
      <c r="K22" s="117">
        <f>K21+(ROUND($AA$7*$AA$8,0)+(QUOTIENT(J22,$AD$6)-QUOTIENT(J21,$AD$6))*$AA$9)*IF($K$1="是",IF(MOD(J22,360)&lt;=20,1.3,1),1)</f>
        <v>10994.2</v>
      </c>
      <c r="L22" s="118">
        <f>L21+(((QUOTIENT(J22,3)-QUOTIENT(J21,3))*MIN(ROUND(I22*$AA$6,0),5)*$AA$12*(1+$K$3/100))+(QUOTIENT(J22,$AD$6)-QUOTIENT(J21,$AD$6))*$AA$11*MIN(ROUND((I22+1)*$AA$6,0),5)+IF(ROUND((I22+1)*$AA$6,0)&gt;5,$AA$10*$AA$6,0))*IF($K$1="是",IF(MOD(J22,360)&lt;=20,1.3,1),1)</f>
        <v>21842.28</v>
      </c>
      <c r="M22" s="56">
        <v>92</v>
      </c>
      <c r="N22" s="53">
        <f>$C$1*((ROW(N22)-5)+(QUOTIENT(COLUMN(N22),4)*25))</f>
        <v>165.6</v>
      </c>
      <c r="O22" s="117">
        <f>O21+(ROUND($AA$7*$AA$8,0)+(QUOTIENT(N22,$AD$6)-QUOTIENT(N21,$AD$6))*$AA$9)*IF($K$1="是",IF(MOD(N22,360)&lt;=20,1.3,1),1)</f>
        <v>14871.6</v>
      </c>
      <c r="P22" s="118">
        <f>P21+(((QUOTIENT(N22,3)-QUOTIENT(N21,3))*MIN(ROUND(M22*$AA$6,0),5)*$AA$12*(1+$K$3/100))+(QUOTIENT(N22,$AD$6)-QUOTIENT(N21,$AD$6))*$AA$11*MIN(ROUND((M22+1)*$AA$6,0),5)+IF(ROUND((M22+1)*$AA$6,0)&gt;5,$AA$10*$AA$6,0))*IF($K$1="是",IF(MOD(N22,360)&lt;=20,1.3,1),1)</f>
        <v>29776.53</v>
      </c>
      <c r="T22" t="s">
        <v>57</v>
      </c>
      <c r="V22">
        <f>IF($K$1="是",IF(MOD(666,360)&lt;=20,1.3,1),1)</f>
        <v>1</v>
      </c>
    </row>
    <row r="23" spans="1:28">
      <c r="A23" s="56">
        <f t="shared" si="0"/>
        <v>18</v>
      </c>
      <c r="B23" s="53">
        <f>$C$1*((ROW(B23)-5)+(QUOTIENT(COLUMN(B23),4)*25))</f>
        <v>32.4</v>
      </c>
      <c r="C23" s="117">
        <f t="shared" si="2"/>
        <v>2929.8</v>
      </c>
      <c r="D23" s="118">
        <f t="shared" si="3"/>
        <v>4906.2</v>
      </c>
      <c r="E23" s="56">
        <f t="shared" si="1"/>
        <v>43</v>
      </c>
      <c r="F23" s="53">
        <f>$C$1*((ROW(F23)-5)+(QUOTIENT(COLUMN(F23),4)*25))</f>
        <v>77.4</v>
      </c>
      <c r="G23" s="117">
        <f t="shared" si="4"/>
        <v>6807.2</v>
      </c>
      <c r="H23" s="118">
        <f t="shared" si="5"/>
        <v>12840.45</v>
      </c>
      <c r="I23" s="56">
        <v>68</v>
      </c>
      <c r="J23" s="53">
        <f>$C$1*((ROW(J23)-5)+(QUOTIENT(COLUMN(J23),4)*25))</f>
        <v>122.4</v>
      </c>
      <c r="K23" s="117">
        <f>K22+(ROUND($AA$7*$AA$8,0)+(QUOTIENT(J23,$AD$6)-QUOTIENT(J22,$AD$6))*$AA$9)*IF($K$1="是",IF(MOD(J23,360)&lt;=20,1.3,1),1)</f>
        <v>11085.2</v>
      </c>
      <c r="L23" s="118">
        <f>L22+(((QUOTIENT(J23,3)-QUOTIENT(J22,3))*MIN(ROUND(I23*$AA$6,0),5)*$AA$12*(1+$K$3/100))+(QUOTIENT(J23,$AD$6)-QUOTIENT(J22,$AD$6))*$AA$11*MIN(ROUND((I23+1)*$AA$6,0),5)+IF(ROUND((I23+1)*$AA$6,0)&gt;5,$AA$10*$AA$6,0))*IF($K$1="是",IF(MOD(J23,360)&lt;=20,1.3,1),1)</f>
        <v>21856.2</v>
      </c>
      <c r="M23" s="56">
        <v>93</v>
      </c>
      <c r="N23" s="53">
        <f>$C$1*((ROW(N23)-5)+(QUOTIENT(COLUMN(N23),4)*25))</f>
        <v>167.4</v>
      </c>
      <c r="O23" s="117">
        <f>O22+(ROUND($AA$7*$AA$8,0)+(QUOTIENT(N23,$AD$6)-QUOTIENT(N22,$AD$6))*$AA$9)*IF($K$1="是",IF(MOD(N23,360)&lt;=20,1.3,1),1)</f>
        <v>14962.6</v>
      </c>
      <c r="P23" s="118">
        <f>P22+(((QUOTIENT(N23,3)-QUOTIENT(N22,3))*MIN(ROUND(M23*$AA$6,0),5)*$AA$12*(1+$K$3/100))+(QUOTIENT(N23,$AD$6)-QUOTIENT(N22,$AD$6))*$AA$11*MIN(ROUND((M23+1)*$AA$6,0),5)+IF(ROUND((M23+1)*$AA$6,0)&gt;5,$AA$10*$AA$6,0))*IF($K$1="是",IF(MOD(N23,360)&lt;=20,1.3,1),1)</f>
        <v>29790.45</v>
      </c>
      <c r="T23" t="s">
        <v>58</v>
      </c>
      <c r="V23">
        <f>ROUND((A7+1)*AA6,0)</f>
        <v>2</v>
      </c>
      <c r="AA23" t="s">
        <v>74</v>
      </c>
      <c r="AB23" t="s">
        <v>75</v>
      </c>
    </row>
    <row r="24" spans="1:31">
      <c r="A24" s="56">
        <f t="shared" si="0"/>
        <v>19</v>
      </c>
      <c r="B24" s="53">
        <f>$C$1*((ROW(B24)-5)+(QUOTIENT(COLUMN(B24),4)*25))</f>
        <v>34.2</v>
      </c>
      <c r="C24" s="117">
        <f t="shared" si="2"/>
        <v>3020.8</v>
      </c>
      <c r="D24" s="118">
        <f t="shared" si="3"/>
        <v>5137.47</v>
      </c>
      <c r="E24" s="56">
        <f t="shared" si="1"/>
        <v>44</v>
      </c>
      <c r="F24" s="53">
        <f>$C$1*((ROW(F24)-5)+(QUOTIENT(COLUMN(F24),4)*25))</f>
        <v>79.2</v>
      </c>
      <c r="G24" s="117">
        <f t="shared" si="4"/>
        <v>6898.2</v>
      </c>
      <c r="H24" s="118">
        <f t="shared" si="5"/>
        <v>13071.72</v>
      </c>
      <c r="I24" s="56">
        <v>69</v>
      </c>
      <c r="J24" s="53">
        <f>$C$1*((ROW(J24)-5)+(QUOTIENT(COLUMN(J24),4)*25))</f>
        <v>124.2</v>
      </c>
      <c r="K24" s="117">
        <f>K23+(ROUND($AA$7*$AA$8,0)+(QUOTIENT(J24,$AD$6)-QUOTIENT(J23,$AD$6))*$AA$9)*IF($K$1="是",IF(MOD(J24,360)&lt;=20,1.3,1),1)</f>
        <v>11176.2</v>
      </c>
      <c r="L24" s="118">
        <f>L23+(((QUOTIENT(J24,3)-QUOTIENT(J23,3))*MIN(ROUND(I24*$AA$6,0),5)*$AA$12*(1+$K$3/100))+(QUOTIENT(J24,$AD$6)-QUOTIENT(J23,$AD$6))*$AA$11*MIN(ROUND((I24+1)*$AA$6,0),5)+IF(ROUND((I24+1)*$AA$6,0)&gt;5,$AA$10*$AA$6,0))*IF($K$1="是",IF(MOD(J24,360)&lt;=20,1.3,1),1)</f>
        <v>22087.47</v>
      </c>
      <c r="M24" s="56">
        <v>94</v>
      </c>
      <c r="N24" s="53">
        <f>$C$1*((ROW(N24)-5)+(QUOTIENT(COLUMN(N24),4)*25))</f>
        <v>169.2</v>
      </c>
      <c r="O24" s="117">
        <f>O23+(ROUND($AA$7*$AA$8,0)+(QUOTIENT(N24,$AD$6)-QUOTIENT(N23,$AD$6))*$AA$9)*IF($K$1="是",IF(MOD(N24,360)&lt;=20,1.3,1),1)</f>
        <v>15053.6</v>
      </c>
      <c r="P24" s="118">
        <f>P23+(((QUOTIENT(N24,3)-QUOTIENT(N23,3))*MIN(ROUND(M24*$AA$6,0),5)*$AA$12*(1+$K$3/100))+(QUOTIENT(N24,$AD$6)-QUOTIENT(N23,$AD$6))*$AA$11*MIN(ROUND((M24+1)*$AA$6,0),5)+IF(ROUND((M24+1)*$AA$6,0)&gt;5,$AA$10*$AA$6,0))*IF($K$1="是",IF(MOD(N24,360)&lt;=20,1.3,1),1)</f>
        <v>30021.72</v>
      </c>
      <c r="T24" t="s">
        <v>59</v>
      </c>
      <c r="V24">
        <f>ROUND((A8+1)*AA6,0)</f>
        <v>2</v>
      </c>
      <c r="AA24" t="s">
        <v>76</v>
      </c>
      <c r="AB24">
        <v>51</v>
      </c>
      <c r="AC24" s="92">
        <f>AB24/1.05</f>
        <v>48.5714285714286</v>
      </c>
      <c r="AD24" s="93">
        <f>AC24-AA5</f>
        <v>18.5714285714286</v>
      </c>
      <c r="AE24" s="93">
        <f>AD24/400/1</f>
        <v>0.0464285714285714</v>
      </c>
    </row>
    <row r="25" spans="1:31">
      <c r="A25" s="56">
        <f t="shared" si="0"/>
        <v>20</v>
      </c>
      <c r="B25" s="53">
        <f>$C$1*((ROW(B25)-5)+(QUOTIENT(COLUMN(B25),4)*25))</f>
        <v>36</v>
      </c>
      <c r="C25" s="117">
        <f t="shared" si="2"/>
        <v>3111.8</v>
      </c>
      <c r="D25" s="118">
        <f t="shared" si="3"/>
        <v>5368.74</v>
      </c>
      <c r="E25" s="56">
        <f t="shared" si="1"/>
        <v>45</v>
      </c>
      <c r="F25" s="53">
        <f>$C$1*((ROW(F25)-5)+(QUOTIENT(COLUMN(F25),4)*25))</f>
        <v>81</v>
      </c>
      <c r="G25" s="117">
        <f t="shared" si="4"/>
        <v>7389.8</v>
      </c>
      <c r="H25" s="118">
        <f t="shared" si="5"/>
        <v>14384.49</v>
      </c>
      <c r="I25" s="56">
        <v>70</v>
      </c>
      <c r="J25" s="53">
        <f>$C$1*((ROW(J25)-5)+(QUOTIENT(COLUMN(J25),4)*25))</f>
        <v>126</v>
      </c>
      <c r="K25" s="117">
        <f>K24+(ROUND($AA$7*$AA$8,0)+(QUOTIENT(J25,$AD$6)-QUOTIENT(J24,$AD$6))*$AA$9)*IF($K$1="是",IF(MOD(J25,360)&lt;=20,1.3,1),1)</f>
        <v>11267.2</v>
      </c>
      <c r="L25" s="118">
        <f>L24+(((QUOTIENT(J25,3)-QUOTIENT(J24,3))*MIN(ROUND(I25*$AA$6,0),5)*$AA$12*(1+$K$3/100))+(QUOTIENT(J25,$AD$6)-QUOTIENT(J24,$AD$6))*$AA$11*MIN(ROUND((I25+1)*$AA$6,0),5)+IF(ROUND((I25+1)*$AA$6,0)&gt;5,$AA$10*$AA$6,0))*IF($K$1="是",IF(MOD(J25,360)&lt;=20,1.3,1),1)</f>
        <v>22318.74</v>
      </c>
      <c r="M25" s="56">
        <v>95</v>
      </c>
      <c r="N25" s="53">
        <f>$C$1*((ROW(N25)-5)+(QUOTIENT(COLUMN(N25),4)*25))</f>
        <v>171</v>
      </c>
      <c r="O25" s="117">
        <f>O24+(ROUND($AA$7*$AA$8,0)+(QUOTIENT(N25,$AD$6)-QUOTIENT(N24,$AD$6))*$AA$9)*IF($K$1="是",IF(MOD(N25,360)&lt;=20,1.3,1),1)</f>
        <v>15545.2</v>
      </c>
      <c r="P25" s="118">
        <f>P24+(((QUOTIENT(N25,3)-QUOTIENT(N24,3))*MIN(ROUND(M25*$AA$6,0),5)*$AA$12*(1+$K$3/100))+(QUOTIENT(N25,$AD$6)-QUOTIENT(N24,$AD$6))*$AA$11*MIN(ROUND((M25+1)*$AA$6,0),5)+IF(ROUND((M25+1)*$AA$6,0)&gt;5,$AA$10*$AA$6,0))*IF($K$1="是",IF(MOD(N25,360)&lt;=20,1.3,1),1)</f>
        <v>31334.49</v>
      </c>
      <c r="AA25" t="s">
        <v>77</v>
      </c>
      <c r="AB25">
        <v>151</v>
      </c>
      <c r="AC25" s="92">
        <f t="shared" ref="AC25:AC30" si="6">AB25/1.05</f>
        <v>143.809523809524</v>
      </c>
      <c r="AD25" s="93">
        <f>AC25-$AA$5*3</f>
        <v>53.8095238095238</v>
      </c>
      <c r="AE25" s="93">
        <f>AD25/400/3</f>
        <v>0.0448412698412698</v>
      </c>
    </row>
    <row r="26" spans="1:31">
      <c r="A26" s="56">
        <f t="shared" si="0"/>
        <v>21</v>
      </c>
      <c r="B26" s="53">
        <f>$C$1*((ROW(B26)-5)+(QUOTIENT(COLUMN(B26),4)*25))</f>
        <v>37.8</v>
      </c>
      <c r="C26" s="117">
        <f t="shared" si="2"/>
        <v>3202.8</v>
      </c>
      <c r="D26" s="118">
        <f t="shared" si="3"/>
        <v>5382.66</v>
      </c>
      <c r="E26" s="56">
        <f t="shared" si="1"/>
        <v>46</v>
      </c>
      <c r="F26" s="53">
        <f>$C$1*((ROW(F26)-5)+(QUOTIENT(COLUMN(F26),4)*25))</f>
        <v>82.8</v>
      </c>
      <c r="G26" s="117">
        <f t="shared" si="4"/>
        <v>7480.8</v>
      </c>
      <c r="H26" s="118">
        <f t="shared" si="5"/>
        <v>14398.41</v>
      </c>
      <c r="I26" s="56">
        <v>71</v>
      </c>
      <c r="J26" s="53">
        <f>$C$1*((ROW(J26)-5)+(QUOTIENT(COLUMN(J26),4)*25))</f>
        <v>127.8</v>
      </c>
      <c r="K26" s="117">
        <f>K25+(ROUND($AA$7*$AA$8,0)+(QUOTIENT(J26,$AD$6)-QUOTIENT(J25,$AD$6))*$AA$9)*IF($K$1="是",IF(MOD(J26,360)&lt;=20,1.3,1),1)</f>
        <v>11358.2</v>
      </c>
      <c r="L26" s="118">
        <f>L25+(((QUOTIENT(J26,3)-QUOTIENT(J25,3))*MIN(ROUND(I26*$AA$6,0),5)*$AA$12*(1+$K$3/100))+(QUOTIENT(J26,$AD$6)-QUOTIENT(J25,$AD$6))*$AA$11*MIN(ROUND((I26+1)*$AA$6,0),5)+IF(ROUND((I26+1)*$AA$6,0)&gt;5,$AA$10*$AA$6,0))*IF($K$1="是",IF(MOD(J26,360)&lt;=20,1.3,1),1)</f>
        <v>22332.66</v>
      </c>
      <c r="M26" s="56">
        <v>96</v>
      </c>
      <c r="N26" s="53">
        <f>$C$1*((ROW(N26)-5)+(QUOTIENT(COLUMN(N26),4)*25))</f>
        <v>172.8</v>
      </c>
      <c r="O26" s="117">
        <f>O25+(ROUND($AA$7*$AA$8,0)+(QUOTIENT(N26,$AD$6)-QUOTIENT(N25,$AD$6))*$AA$9)*IF($K$1="是",IF(MOD(N26,360)&lt;=20,1.3,1),1)</f>
        <v>15636.2</v>
      </c>
      <c r="P26" s="118">
        <f>P25+(((QUOTIENT(N26,3)-QUOTIENT(N25,3))*MIN(ROUND(M26*$AA$6,0),5)*$AA$12*(1+$K$3/100))+(QUOTIENT(N26,$AD$6)-QUOTIENT(N25,$AD$6))*$AA$11*MIN(ROUND((M26+1)*$AA$6,0),5)+IF(ROUND((M26+1)*$AA$6,0)&gt;5,$AA$10*$AA$6,0))*IF($K$1="是",IF(MOD(N26,360)&lt;=20,1.3,1),1)</f>
        <v>31348.41</v>
      </c>
      <c r="T26" t="s">
        <v>60</v>
      </c>
      <c r="U26">
        <f>MIN(ROUND((A11+1)*$AA$6,0),5)</f>
        <v>4</v>
      </c>
      <c r="AA26" t="s">
        <v>78</v>
      </c>
      <c r="AB26">
        <v>202</v>
      </c>
      <c r="AC26" s="92">
        <f t="shared" si="6"/>
        <v>192.380952380952</v>
      </c>
      <c r="AD26" s="93">
        <f>AC26-$AA$5*4</f>
        <v>72.3809523809524</v>
      </c>
      <c r="AE26" s="93">
        <f>AD26/400/4</f>
        <v>0.0452380952380952</v>
      </c>
    </row>
    <row r="27" spans="1:31">
      <c r="A27" s="56">
        <f t="shared" si="0"/>
        <v>22</v>
      </c>
      <c r="B27" s="53">
        <f>$C$1*((ROW(B27)-5)+(QUOTIENT(COLUMN(B27),4)*25))</f>
        <v>39.6</v>
      </c>
      <c r="C27" s="117">
        <f t="shared" si="2"/>
        <v>3293.8</v>
      </c>
      <c r="D27" s="118">
        <f t="shared" si="3"/>
        <v>5613.93</v>
      </c>
      <c r="E27" s="56">
        <f t="shared" si="1"/>
        <v>47</v>
      </c>
      <c r="F27" s="53">
        <f>$C$1*((ROW(F27)-5)+(QUOTIENT(COLUMN(F27),4)*25))</f>
        <v>84.6</v>
      </c>
      <c r="G27" s="117">
        <f t="shared" si="4"/>
        <v>7571.8</v>
      </c>
      <c r="H27" s="118">
        <f t="shared" si="5"/>
        <v>14629.68</v>
      </c>
      <c r="I27" s="56">
        <v>72</v>
      </c>
      <c r="J27" s="53">
        <f>$C$1*((ROW(J27)-5)+(QUOTIENT(COLUMN(J27),4)*25))</f>
        <v>129.6</v>
      </c>
      <c r="K27" s="117">
        <f>K26+(ROUND($AA$7*$AA$8,0)+(QUOTIENT(J27,$AD$6)-QUOTIENT(J26,$AD$6))*$AA$9)*IF($K$1="是",IF(MOD(J27,360)&lt;=20,1.3,1),1)</f>
        <v>11449.2</v>
      </c>
      <c r="L27" s="118">
        <f>L26+(((QUOTIENT(J27,3)-QUOTIENT(J26,3))*MIN(ROUND(I27*$AA$6,0),5)*$AA$12*(1+$K$3/100))+(QUOTIENT(J27,$AD$6)-QUOTIENT(J26,$AD$6))*$AA$11*MIN(ROUND((I27+1)*$AA$6,0),5)+IF(ROUND((I27+1)*$AA$6,0)&gt;5,$AA$10*$AA$6,0))*IF($K$1="是",IF(MOD(J27,360)&lt;=20,1.3,1),1)</f>
        <v>22563.93</v>
      </c>
      <c r="M27" s="56">
        <v>97</v>
      </c>
      <c r="N27" s="53">
        <f>$C$1*((ROW(N27)-5)+(QUOTIENT(COLUMN(N27),4)*25))</f>
        <v>174.6</v>
      </c>
      <c r="O27" s="117">
        <f>O26+(ROUND($AA$7*$AA$8,0)+(QUOTIENT(N27,$AD$6)-QUOTIENT(N26,$AD$6))*$AA$9)*IF($K$1="是",IF(MOD(N27,360)&lt;=20,1.3,1),1)</f>
        <v>15727.2</v>
      </c>
      <c r="P27" s="118">
        <f>P26+(((QUOTIENT(N27,3)-QUOTIENT(N26,3))*MIN(ROUND(M27*$AA$6,0),5)*$AA$12*(1+$K$3/100))+(QUOTIENT(N27,$AD$6)-QUOTIENT(N26,$AD$6))*$AA$11*MIN(ROUND((M27+1)*$AA$6,0),5)+IF(ROUND((M27+1)*$AA$6,0)&gt;5,$AA$10*$AA$6,0))*IF($K$1="是",IF(MOD(N27,360)&lt;=20,1.3,1),1)</f>
        <v>31579.68</v>
      </c>
      <c r="T27" t="s">
        <v>61</v>
      </c>
      <c r="U27">
        <f>QUOTIENT(B8,2)</f>
        <v>2</v>
      </c>
      <c r="AA27" t="s">
        <v>79</v>
      </c>
      <c r="AB27">
        <v>252</v>
      </c>
      <c r="AC27" s="92">
        <f t="shared" si="6"/>
        <v>240</v>
      </c>
      <c r="AD27" s="93">
        <f>AC27-$AA$5*5</f>
        <v>90</v>
      </c>
      <c r="AE27" s="93">
        <f>AD27/400/5</f>
        <v>0.045</v>
      </c>
    </row>
    <row r="28" spans="1:31">
      <c r="A28" s="56">
        <f t="shared" si="0"/>
        <v>23</v>
      </c>
      <c r="B28" s="53">
        <f>$C$1*((ROW(B28)-5)+(QUOTIENT(COLUMN(B28),4)*25))</f>
        <v>41.4</v>
      </c>
      <c r="C28" s="117">
        <f t="shared" si="2"/>
        <v>3785.4</v>
      </c>
      <c r="D28" s="118">
        <f t="shared" si="3"/>
        <v>6709.35</v>
      </c>
      <c r="E28" s="56">
        <f t="shared" si="1"/>
        <v>48</v>
      </c>
      <c r="F28" s="53">
        <f>$C$1*((ROW(F28)-5)+(QUOTIENT(COLUMN(F28),4)*25))</f>
        <v>86.4</v>
      </c>
      <c r="G28" s="117">
        <f t="shared" si="4"/>
        <v>7662.8</v>
      </c>
      <c r="H28" s="118">
        <f t="shared" si="5"/>
        <v>14643.6</v>
      </c>
      <c r="I28" s="56">
        <v>73</v>
      </c>
      <c r="J28" s="53">
        <f>$C$1*((ROW(J28)-5)+(QUOTIENT(COLUMN(J28),4)*25))</f>
        <v>131.4</v>
      </c>
      <c r="K28" s="117">
        <f>K27+(ROUND($AA$7*$AA$8,0)+(QUOTIENT(J28,$AD$6)-QUOTIENT(J27,$AD$6))*$AA$9)*IF($K$1="是",IF(MOD(J28,360)&lt;=20,1.3,1),1)</f>
        <v>11940.8</v>
      </c>
      <c r="L28" s="118">
        <f>L27+(((QUOTIENT(J28,3)-QUOTIENT(J27,3))*MIN(ROUND(I28*$AA$6,0),5)*$AA$12*(1+$K$3/100))+(QUOTIENT(J28,$AD$6)-QUOTIENT(J27,$AD$6))*$AA$11*MIN(ROUND((I28+1)*$AA$6,0),5)+IF(ROUND((I28+1)*$AA$6,0)&gt;5,$AA$10*$AA$6,0))*IF($K$1="是",IF(MOD(J28,360)&lt;=20,1.3,1),1)</f>
        <v>23659.35</v>
      </c>
      <c r="M28" s="56">
        <v>98</v>
      </c>
      <c r="N28" s="53">
        <f>$C$1*((ROW(N28)-5)+(QUOTIENT(COLUMN(N28),4)*25))</f>
        <v>176.4</v>
      </c>
      <c r="O28" s="117">
        <f>O27+(ROUND($AA$7*$AA$8,0)+(QUOTIENT(N28,$AD$6)-QUOTIENT(N27,$AD$6))*$AA$9)*IF($K$1="是",IF(MOD(N28,360)&lt;=20,1.3,1),1)</f>
        <v>15818.2</v>
      </c>
      <c r="P28" s="118">
        <f>P27+(((QUOTIENT(N28,3)-QUOTIENT(N27,3))*MIN(ROUND(M28*$AA$6,0),5)*$AA$12*(1+$K$3/100))+(QUOTIENT(N28,$AD$6)-QUOTIENT(N27,$AD$6))*$AA$11*MIN(ROUND((M28+1)*$AA$6,0),5)+IF(ROUND((M28+1)*$AA$6,0)&gt;5,$AA$10*$AA$6,0))*IF($K$1="是",IF(MOD(N28,360)&lt;=20,1.3,1),1)</f>
        <v>31593.6</v>
      </c>
      <c r="AA28" t="s">
        <v>80</v>
      </c>
      <c r="AB28">
        <v>810</v>
      </c>
      <c r="AC28" s="92">
        <f t="shared" si="6"/>
        <v>771.428571428571</v>
      </c>
      <c r="AD28" s="93">
        <f>AC28-$AA$4*5</f>
        <v>171.428571428571</v>
      </c>
      <c r="AE28" s="93">
        <f t="shared" ref="AE25:AE30" si="7">AD28/400</f>
        <v>0.428571428571429</v>
      </c>
    </row>
    <row r="29" spans="1:31">
      <c r="A29" s="56">
        <f t="shared" si="0"/>
        <v>24</v>
      </c>
      <c r="B29" s="53">
        <f>$C$1*((ROW(B29)-5)+(QUOTIENT(COLUMN(B29),4)*25))</f>
        <v>43.2</v>
      </c>
      <c r="C29" s="117">
        <f>C28+(ROUND($AA$7*$AA$8,0)+(QUOTIENT(B29,$AD$6)-QUOTIENT(B28,$AD$6))*$AA$9)*IF($K$1="是",IF(MOD(B29,360)&lt;=20,1.3,1),1)</f>
        <v>3876.4</v>
      </c>
      <c r="D29" s="118">
        <f t="shared" si="3"/>
        <v>6940.62</v>
      </c>
      <c r="E29" s="56">
        <f t="shared" si="1"/>
        <v>49</v>
      </c>
      <c r="F29" s="53">
        <f>$C$1*((ROW(F29)-5)+(QUOTIENT(COLUMN(F29),4)*25))</f>
        <v>88.2</v>
      </c>
      <c r="G29" s="117">
        <f t="shared" si="4"/>
        <v>7753.8</v>
      </c>
      <c r="H29" s="118">
        <f t="shared" si="5"/>
        <v>14874.87</v>
      </c>
      <c r="I29" s="56">
        <v>74</v>
      </c>
      <c r="J29" s="53">
        <f>$C$1*((ROW(J29)-5)+(QUOTIENT(COLUMN(J29),4)*25))</f>
        <v>133.2</v>
      </c>
      <c r="K29" s="117">
        <f>K28+(ROUND($AA$7*$AA$8,0)+(QUOTIENT(J29,$AD$6)-QUOTIENT(J28,$AD$6))*$AA$9)*IF($K$1="是",IF(MOD(J29,360)&lt;=20,1.3,1),1)</f>
        <v>12031.8</v>
      </c>
      <c r="L29" s="118">
        <f>L28+(((QUOTIENT(J29,3)-QUOTIENT(J28,3))*MIN(ROUND(I29*$AA$6,0),5)*$AA$12*(1+$K$3/100))+(QUOTIENT(J29,$AD$6)-QUOTIENT(J28,$AD$6))*$AA$11*MIN(ROUND((I29+1)*$AA$6,0),5)+IF(ROUND((I29+1)*$AA$6,0)&gt;5,$AA$10*$AA$6,0))*IF($K$1="是",IF(MOD(J29,360)&lt;=20,1.3,1),1)</f>
        <v>23890.62</v>
      </c>
      <c r="M29" s="56">
        <v>99</v>
      </c>
      <c r="N29" s="53">
        <f>$C$1*((ROW(N29)-5)+(QUOTIENT(COLUMN(N29),4)*25))</f>
        <v>178.2</v>
      </c>
      <c r="O29" s="117">
        <f>O28+(ROUND($AA$7*$AA$8,0)+(QUOTIENT(N29,$AD$6)-QUOTIENT(N28,$AD$6))*$AA$9)*IF($K$1="是",IF(MOD(N29,360)&lt;=20,1.3,1),1)</f>
        <v>15909.2</v>
      </c>
      <c r="P29" s="118">
        <f>P28+(((QUOTIENT(N29,3)-QUOTIENT(N28,3))*MIN(ROUND(M29*$AA$6,0),5)*$AA$12*(1+$K$3/100))+(QUOTIENT(N29,$AD$6)-QUOTIENT(N28,$AD$6))*$AA$11*MIN(ROUND((M29+1)*$AA$6,0),5)+IF(ROUND((M29+1)*$AA$6,0)&gt;5,$AA$10*$AA$6,0))*IF($K$1="是",IF(MOD(N29,360)&lt;=20,1.3,1),1)</f>
        <v>31824.87</v>
      </c>
      <c r="T29" t="s">
        <v>62</v>
      </c>
      <c r="V29">
        <f>QUOTIENT(B10,2)</f>
        <v>4</v>
      </c>
      <c r="AA29" t="s">
        <v>81</v>
      </c>
      <c r="AB29">
        <v>27</v>
      </c>
      <c r="AC29" s="92">
        <v>26</v>
      </c>
      <c r="AD29" s="93">
        <f>AC29-10*1.8</f>
        <v>8</v>
      </c>
      <c r="AE29" s="93">
        <f t="shared" si="7"/>
        <v>0.02</v>
      </c>
    </row>
    <row r="30" spans="1:31">
      <c r="A30" s="119">
        <f t="shared" si="0"/>
        <v>25</v>
      </c>
      <c r="B30" s="120">
        <f>$C$1*((ROW(B30)-5)+(QUOTIENT(COLUMN(B30),4)*25))</f>
        <v>45</v>
      </c>
      <c r="C30" s="121">
        <f>C29+(ROUND($AA$7*$AA$8,0)+(QUOTIENT(B30,$AD$6)-QUOTIENT(B29,$AD$6))*$AA$9)*IF($K$1="是",IF(MOD(B30,360)&lt;=20,1.3,1),1)</f>
        <v>3967.4</v>
      </c>
      <c r="D30" s="122">
        <f t="shared" si="3"/>
        <v>7171.89</v>
      </c>
      <c r="E30" s="119">
        <f t="shared" si="1"/>
        <v>50</v>
      </c>
      <c r="F30" s="120">
        <f>$C$1*((ROW(F30)-5)+(QUOTIENT(COLUMN(F30),4)*25))</f>
        <v>90</v>
      </c>
      <c r="G30" s="121">
        <f t="shared" si="4"/>
        <v>8245.4</v>
      </c>
      <c r="H30" s="122">
        <f t="shared" si="5"/>
        <v>16187.64</v>
      </c>
      <c r="I30" s="119">
        <v>75</v>
      </c>
      <c r="J30" s="120">
        <f>$C$1*((ROW(J30)-5)+(QUOTIENT(COLUMN(J30),4)*25))</f>
        <v>135</v>
      </c>
      <c r="K30" s="121">
        <f>K29+(ROUND($AA$7*$AA$8,0)+(QUOTIENT(J30,$AD$6)-QUOTIENT(J29,$AD$6))*$AA$9)*IF($K$1="是",IF(MOD(J30,360)&lt;=20,1.3,1),1)</f>
        <v>12122.8</v>
      </c>
      <c r="L30" s="122">
        <f>L29+(((QUOTIENT(J30,3)-QUOTIENT(J29,3))*MIN(ROUND(I30*$AA$6,0),5)*$AA$12*(1+$K$3/100))+(QUOTIENT(J30,$AD$6)-QUOTIENT(J29,$AD$6))*$AA$11*MIN(ROUND((I30+1)*$AA$6,0),5)+IF(ROUND((I30+1)*$AA$6,0)&gt;5,$AA$10*$AA$6,0))*IF($K$1="是",IF(MOD(J30,360)&lt;=20,1.3,1),1)</f>
        <v>24121.89</v>
      </c>
      <c r="M30" s="119">
        <v>100</v>
      </c>
      <c r="N30" s="120">
        <f>$C$1*((ROW(N30)-5)+(QUOTIENT(COLUMN(N30),4)*25))</f>
        <v>180</v>
      </c>
      <c r="O30" s="121">
        <f>O29+(ROUND($AA$7*$AA$8,0)+(QUOTIENT(N30,$AD$6)-QUOTIENT(N29,$AD$6))*$AA$9)*IF($K$1="是",IF(MOD(N30,360)&lt;=20,1.3,1),1)</f>
        <v>16400.8</v>
      </c>
      <c r="P30" s="122">
        <f>P29+(((QUOTIENT(N30,3)-QUOTIENT(N29,3))*MIN(ROUND(M30*$AA$6,0),5)*$AA$12*(1+$K$3/100))+(QUOTIENT(N30,$AD$6)-QUOTIENT(N29,$AD$6))*$AA$11*MIN(ROUND((M30+1)*$AA$6,0),5)+IF(ROUND((M30+1)*$AA$6,0)&gt;5,$AA$10*$AA$6,0))*IF($K$1="是",IF(MOD(N30,360)&lt;=20,1.3,1),1)</f>
        <v>33137.64</v>
      </c>
      <c r="T30" t="s">
        <v>63</v>
      </c>
      <c r="V30">
        <f>QUOTIENT(B11,2)</f>
        <v>5</v>
      </c>
      <c r="AA30" t="s">
        <v>82</v>
      </c>
      <c r="AB30">
        <v>306</v>
      </c>
      <c r="AC30" s="92">
        <f t="shared" si="6"/>
        <v>291.428571428571</v>
      </c>
      <c r="AD30" s="93">
        <f>AC30-$AA$4*1</f>
        <v>171.428571428571</v>
      </c>
      <c r="AE30" s="93">
        <f t="shared" si="7"/>
        <v>0.428571428571428</v>
      </c>
    </row>
    <row r="31" spans="2:22">
      <c r="B31">
        <f>$C$31+$G$31+$K$31+$O$31</f>
        <v>6</v>
      </c>
      <c r="C31">
        <f>IF(D31&gt;0,MIN(D32:D56),0)</f>
        <v>6</v>
      </c>
      <c r="D31">
        <f>SUM(D32:D56)</f>
        <v>310</v>
      </c>
      <c r="G31">
        <f>IF(C31=0,IF(H31&gt;0,MIN(H32:H56),0),0)</f>
        <v>0</v>
      </c>
      <c r="H31">
        <f>SUM(H32:H56)</f>
        <v>950</v>
      </c>
      <c r="K31">
        <f>IF(G31+C31=0,IF(L31&gt;0,MIN(L32:L56),0),0)</f>
        <v>0</v>
      </c>
      <c r="L31">
        <f>SUM(L32:L56)</f>
        <v>1575</v>
      </c>
      <c r="O31">
        <f>IF(K31+G31+C31=0,IF(P31&gt;0,MIN(P32:P56),0),0)</f>
        <v>0</v>
      </c>
      <c r="P31">
        <f>SUM(P32:P56)</f>
        <v>2200</v>
      </c>
      <c r="T31" t="s">
        <v>64</v>
      </c>
      <c r="V31">
        <f>(V30-V29)*(ROUND((A11+1)*AA6,0)*AA12+($AD$5*$AG$5)*(1+$K$3/100))</f>
        <v>175.47</v>
      </c>
    </row>
    <row r="32" spans="4:28">
      <c r="D32" s="23" t="str">
        <f t="shared" ref="D32:D56" si="8">IF(D6&gt;C6,A6,"")</f>
        <v/>
      </c>
      <c r="E32" s="23"/>
      <c r="F32" s="23"/>
      <c r="G32" s="23"/>
      <c r="H32" s="23">
        <f t="shared" ref="H32:H56" si="9">IF(H6&gt;G6,E6,"")</f>
        <v>26</v>
      </c>
      <c r="I32" s="23"/>
      <c r="J32" s="23"/>
      <c r="K32" s="23"/>
      <c r="L32" s="23">
        <f t="shared" ref="L32:L56" si="10">IF(L6&gt;K6,I6,"")</f>
        <v>51</v>
      </c>
      <c r="M32" s="23"/>
      <c r="N32" s="23"/>
      <c r="O32" s="23"/>
      <c r="P32" s="23">
        <f t="shared" ref="P32:P56" si="11">IF(P6&gt;O6,M6,"")</f>
        <v>76</v>
      </c>
      <c r="AA32" t="s">
        <v>83</v>
      </c>
      <c r="AB32" t="s">
        <v>84</v>
      </c>
    </row>
    <row r="33" spans="4:29">
      <c r="D33" s="23" t="str">
        <f t="shared" si="8"/>
        <v/>
      </c>
      <c r="E33" s="23"/>
      <c r="F33" s="23"/>
      <c r="G33" s="23"/>
      <c r="H33" s="23">
        <f t="shared" si="9"/>
        <v>27</v>
      </c>
      <c r="I33" s="23"/>
      <c r="J33" s="23"/>
      <c r="K33" s="23"/>
      <c r="L33" s="23">
        <f t="shared" si="10"/>
        <v>52</v>
      </c>
      <c r="M33" s="23"/>
      <c r="N33" s="23"/>
      <c r="O33" s="23"/>
      <c r="P33" s="23">
        <f t="shared" si="11"/>
        <v>77</v>
      </c>
      <c r="AA33" t="s">
        <v>85</v>
      </c>
      <c r="AB33">
        <v>63</v>
      </c>
      <c r="AC33">
        <f>AB33/1.05</f>
        <v>60</v>
      </c>
    </row>
    <row r="34" spans="4:29">
      <c r="D34" s="23" t="str">
        <f t="shared" si="8"/>
        <v/>
      </c>
      <c r="E34" s="23"/>
      <c r="F34" s="23"/>
      <c r="G34" s="23"/>
      <c r="H34" s="23">
        <f t="shared" si="9"/>
        <v>28</v>
      </c>
      <c r="I34" s="23"/>
      <c r="J34" s="23"/>
      <c r="K34" s="23"/>
      <c r="L34" s="23">
        <f t="shared" si="10"/>
        <v>53</v>
      </c>
      <c r="M34" s="23"/>
      <c r="N34" s="23"/>
      <c r="O34" s="23"/>
      <c r="P34" s="23">
        <f t="shared" si="11"/>
        <v>78</v>
      </c>
      <c r="AA34" t="s">
        <v>86</v>
      </c>
      <c r="AB34">
        <v>252</v>
      </c>
      <c r="AC34">
        <f>AB34/1.05</f>
        <v>240</v>
      </c>
    </row>
    <row r="35" spans="4:16">
      <c r="D35" s="23" t="str">
        <f t="shared" si="8"/>
        <v/>
      </c>
      <c r="E35" s="23"/>
      <c r="F35" s="23"/>
      <c r="G35" s="23"/>
      <c r="H35" s="23">
        <f t="shared" si="9"/>
        <v>29</v>
      </c>
      <c r="I35" s="23"/>
      <c r="J35" s="23"/>
      <c r="K35" s="23"/>
      <c r="L35" s="23">
        <f t="shared" si="10"/>
        <v>54</v>
      </c>
      <c r="M35" s="23"/>
      <c r="N35" s="23"/>
      <c r="O35" s="23"/>
      <c r="P35" s="23">
        <f t="shared" si="11"/>
        <v>79</v>
      </c>
    </row>
    <row r="36" spans="4:28">
      <c r="D36" s="23" t="str">
        <f t="shared" si="8"/>
        <v/>
      </c>
      <c r="E36" s="23"/>
      <c r="F36" s="23"/>
      <c r="G36" s="23"/>
      <c r="H36" s="23">
        <f t="shared" si="9"/>
        <v>30</v>
      </c>
      <c r="I36" s="23"/>
      <c r="J36" s="23"/>
      <c r="K36" s="23"/>
      <c r="L36" s="23">
        <f t="shared" si="10"/>
        <v>55</v>
      </c>
      <c r="M36" s="23"/>
      <c r="N36" s="23"/>
      <c r="O36" s="23"/>
      <c r="P36" s="23">
        <f t="shared" si="11"/>
        <v>80</v>
      </c>
      <c r="AA36" t="s">
        <v>87</v>
      </c>
      <c r="AB36" t="s">
        <v>88</v>
      </c>
    </row>
    <row r="37" spans="4:31">
      <c r="D37" s="23">
        <f t="shared" si="8"/>
        <v>6</v>
      </c>
      <c r="E37" s="23"/>
      <c r="F37" s="23"/>
      <c r="G37" s="23"/>
      <c r="H37" s="23">
        <f t="shared" si="9"/>
        <v>31</v>
      </c>
      <c r="I37" s="23"/>
      <c r="J37" s="23"/>
      <c r="K37" s="23"/>
      <c r="L37" s="23">
        <f t="shared" si="10"/>
        <v>56</v>
      </c>
      <c r="M37" s="23"/>
      <c r="N37" s="23"/>
      <c r="O37" s="23"/>
      <c r="P37" s="23">
        <f t="shared" si="11"/>
        <v>81</v>
      </c>
      <c r="AA37" t="s">
        <v>79</v>
      </c>
      <c r="AB37">
        <v>233</v>
      </c>
      <c r="AC37" s="92">
        <v>222</v>
      </c>
      <c r="AD37" s="93">
        <f>AC37-$AA$5*5</f>
        <v>72</v>
      </c>
      <c r="AE37" s="93">
        <f>AD37/300/5</f>
        <v>0.048</v>
      </c>
    </row>
    <row r="38" spans="4:31">
      <c r="D38" s="23">
        <f t="shared" si="8"/>
        <v>7</v>
      </c>
      <c r="E38" s="23"/>
      <c r="F38" s="23"/>
      <c r="G38" s="23"/>
      <c r="H38" s="23">
        <f t="shared" si="9"/>
        <v>32</v>
      </c>
      <c r="I38" s="23"/>
      <c r="J38" s="23"/>
      <c r="K38" s="23"/>
      <c r="L38" s="23">
        <f t="shared" si="10"/>
        <v>57</v>
      </c>
      <c r="M38" s="23"/>
      <c r="N38" s="23"/>
      <c r="O38" s="23"/>
      <c r="P38" s="23">
        <f t="shared" si="11"/>
        <v>82</v>
      </c>
      <c r="AA38" t="s">
        <v>81</v>
      </c>
      <c r="AB38">
        <v>33</v>
      </c>
      <c r="AC38" s="92">
        <v>31</v>
      </c>
      <c r="AD38" s="93">
        <f>AC38-10*2.3</f>
        <v>8</v>
      </c>
      <c r="AE38" s="93">
        <f>AD38/300</f>
        <v>0.0266666666666667</v>
      </c>
    </row>
    <row r="39" spans="4:31">
      <c r="D39" s="23">
        <f t="shared" si="8"/>
        <v>8</v>
      </c>
      <c r="E39" s="23"/>
      <c r="F39" s="23"/>
      <c r="G39" s="23"/>
      <c r="H39" s="23">
        <f t="shared" si="9"/>
        <v>33</v>
      </c>
      <c r="I39" s="23"/>
      <c r="J39" s="23"/>
      <c r="K39" s="23"/>
      <c r="L39" s="23">
        <f t="shared" si="10"/>
        <v>58</v>
      </c>
      <c r="M39" s="23"/>
      <c r="N39" s="23"/>
      <c r="O39" s="23"/>
      <c r="P39" s="23">
        <f t="shared" si="11"/>
        <v>83</v>
      </c>
      <c r="AA39" t="s">
        <v>80</v>
      </c>
      <c r="AB39">
        <v>765</v>
      </c>
      <c r="AC39" s="92">
        <f>AB39/1.05</f>
        <v>728.571428571429</v>
      </c>
      <c r="AD39" s="93">
        <f>AC39-$AA$4*5</f>
        <v>128.571428571429</v>
      </c>
      <c r="AE39">
        <f>AD39/300</f>
        <v>0.428571428571428</v>
      </c>
    </row>
    <row r="40" spans="4:31">
      <c r="D40" s="23">
        <f t="shared" si="8"/>
        <v>9</v>
      </c>
      <c r="E40" s="23"/>
      <c r="F40" s="23"/>
      <c r="G40" s="23"/>
      <c r="H40" s="23">
        <f t="shared" si="9"/>
        <v>34</v>
      </c>
      <c r="I40" s="23"/>
      <c r="J40" s="23"/>
      <c r="K40" s="23"/>
      <c r="L40" s="23">
        <f t="shared" si="10"/>
        <v>59</v>
      </c>
      <c r="M40" s="23"/>
      <c r="N40" s="23"/>
      <c r="O40" s="23"/>
      <c r="P40" s="23">
        <f t="shared" si="11"/>
        <v>84</v>
      </c>
      <c r="AA40" t="s">
        <v>76</v>
      </c>
      <c r="AB40">
        <v>46</v>
      </c>
      <c r="AC40" s="92">
        <v>44.5</v>
      </c>
      <c r="AD40" s="93">
        <f>AC40-$AA$5*1</f>
        <v>14.5</v>
      </c>
      <c r="AE40" s="93">
        <f>AD40/300/1</f>
        <v>0.0483333333333333</v>
      </c>
    </row>
    <row r="41" spans="4:31">
      <c r="D41" s="23">
        <f t="shared" si="8"/>
        <v>10</v>
      </c>
      <c r="E41" s="23"/>
      <c r="F41" s="23"/>
      <c r="G41" s="23"/>
      <c r="H41" s="23">
        <f t="shared" si="9"/>
        <v>35</v>
      </c>
      <c r="I41" s="23"/>
      <c r="J41" s="23"/>
      <c r="K41" s="23"/>
      <c r="L41" s="23">
        <f t="shared" si="10"/>
        <v>60</v>
      </c>
      <c r="M41" s="23"/>
      <c r="N41" s="23"/>
      <c r="O41" s="23"/>
      <c r="P41" s="23">
        <f t="shared" si="11"/>
        <v>85</v>
      </c>
      <c r="AA41" t="s">
        <v>85</v>
      </c>
      <c r="AB41">
        <v>92</v>
      </c>
      <c r="AC41" s="92">
        <v>88</v>
      </c>
      <c r="AD41" s="93">
        <f>AC41-$AA$5*2</f>
        <v>28</v>
      </c>
      <c r="AE41" s="93">
        <f>AD41/300/2</f>
        <v>0.0466666666666667</v>
      </c>
    </row>
    <row r="42" spans="4:31">
      <c r="D42" s="23">
        <f t="shared" si="8"/>
        <v>11</v>
      </c>
      <c r="E42" s="23"/>
      <c r="F42" s="23"/>
      <c r="G42" s="23"/>
      <c r="H42" s="23">
        <f t="shared" si="9"/>
        <v>36</v>
      </c>
      <c r="I42" s="23"/>
      <c r="J42" s="23"/>
      <c r="K42" s="23"/>
      <c r="L42" s="23">
        <f t="shared" si="10"/>
        <v>61</v>
      </c>
      <c r="M42" s="23"/>
      <c r="N42" s="23"/>
      <c r="O42" s="23"/>
      <c r="P42" s="23">
        <f t="shared" si="11"/>
        <v>86</v>
      </c>
      <c r="AA42" t="s">
        <v>77</v>
      </c>
      <c r="AB42">
        <v>140</v>
      </c>
      <c r="AC42" s="92">
        <f>AB42/1.05</f>
        <v>133.333333333333</v>
      </c>
      <c r="AD42" s="93">
        <f>AC42-$AA$5*3</f>
        <v>43.3333333333333</v>
      </c>
      <c r="AE42" s="93">
        <f>AD42/300/3</f>
        <v>0.0481481481481481</v>
      </c>
    </row>
    <row r="43" spans="4:31">
      <c r="D43" s="23">
        <f t="shared" si="8"/>
        <v>12</v>
      </c>
      <c r="E43" s="23"/>
      <c r="F43" s="23"/>
      <c r="G43" s="23"/>
      <c r="H43" s="23">
        <f t="shared" si="9"/>
        <v>37</v>
      </c>
      <c r="I43" s="23"/>
      <c r="J43" s="23"/>
      <c r="K43" s="23"/>
      <c r="L43" s="23">
        <f t="shared" si="10"/>
        <v>62</v>
      </c>
      <c r="M43" s="23"/>
      <c r="N43" s="23"/>
      <c r="O43" s="23"/>
      <c r="P43" s="23">
        <f t="shared" si="11"/>
        <v>87</v>
      </c>
      <c r="AA43" t="s">
        <v>78</v>
      </c>
      <c r="AB43">
        <v>186</v>
      </c>
      <c r="AC43" s="92">
        <v>177.5</v>
      </c>
      <c r="AD43" s="93">
        <f>AC43-$AA$5*4</f>
        <v>57.5</v>
      </c>
      <c r="AE43" s="93">
        <f>AD43/300/4</f>
        <v>0.0479166666666667</v>
      </c>
    </row>
    <row r="44" spans="4:31">
      <c r="D44" s="23">
        <f t="shared" si="8"/>
        <v>13</v>
      </c>
      <c r="E44" s="23"/>
      <c r="F44" s="23"/>
      <c r="G44" s="23"/>
      <c r="H44" s="23">
        <f t="shared" si="9"/>
        <v>38</v>
      </c>
      <c r="I44" s="23"/>
      <c r="J44" s="23"/>
      <c r="K44" s="23"/>
      <c r="L44" s="23">
        <f t="shared" si="10"/>
        <v>63</v>
      </c>
      <c r="M44" s="23"/>
      <c r="N44" s="23"/>
      <c r="O44" s="23"/>
      <c r="P44" s="23">
        <f t="shared" si="11"/>
        <v>88</v>
      </c>
      <c r="AA44" t="s">
        <v>79</v>
      </c>
      <c r="AB44">
        <v>233</v>
      </c>
      <c r="AC44" s="92">
        <v>222</v>
      </c>
      <c r="AD44" s="93">
        <f>AC44-$AA$5*5</f>
        <v>72</v>
      </c>
      <c r="AE44" s="93">
        <f>AD44/300/5</f>
        <v>0.048</v>
      </c>
    </row>
    <row r="45" spans="4:29">
      <c r="D45" s="23">
        <f t="shared" si="8"/>
        <v>14</v>
      </c>
      <c r="E45" s="23"/>
      <c r="F45" s="23"/>
      <c r="G45" s="23"/>
      <c r="H45" s="23">
        <f t="shared" si="9"/>
        <v>39</v>
      </c>
      <c r="I45" s="23"/>
      <c r="J45" s="23"/>
      <c r="K45" s="23"/>
      <c r="L45" s="23">
        <f t="shared" si="10"/>
        <v>64</v>
      </c>
      <c r="M45" s="23"/>
      <c r="N45" s="23"/>
      <c r="O45" s="23"/>
      <c r="P45" s="23">
        <f t="shared" si="11"/>
        <v>89</v>
      </c>
      <c r="AC45" s="92"/>
    </row>
    <row r="46" spans="4:28">
      <c r="D46" s="23">
        <f t="shared" si="8"/>
        <v>15</v>
      </c>
      <c r="E46" s="23"/>
      <c r="F46" s="23"/>
      <c r="G46" s="23"/>
      <c r="H46" s="23">
        <f t="shared" si="9"/>
        <v>40</v>
      </c>
      <c r="I46" s="23"/>
      <c r="J46" s="23"/>
      <c r="K46" s="23"/>
      <c r="L46" s="23">
        <f t="shared" si="10"/>
        <v>65</v>
      </c>
      <c r="M46" s="23"/>
      <c r="N46" s="23"/>
      <c r="O46" s="23"/>
      <c r="P46" s="23">
        <f t="shared" si="11"/>
        <v>90</v>
      </c>
      <c r="AA46" t="s">
        <v>87</v>
      </c>
      <c r="AB46" t="s">
        <v>84</v>
      </c>
    </row>
    <row r="47" spans="4:31">
      <c r="D47" s="23">
        <f t="shared" si="8"/>
        <v>16</v>
      </c>
      <c r="E47" s="23"/>
      <c r="F47" s="23"/>
      <c r="G47" s="23"/>
      <c r="H47" s="23">
        <f t="shared" si="9"/>
        <v>41</v>
      </c>
      <c r="I47" s="23"/>
      <c r="J47" s="23"/>
      <c r="K47" s="23"/>
      <c r="L47" s="23">
        <f t="shared" si="10"/>
        <v>66</v>
      </c>
      <c r="M47" s="23"/>
      <c r="N47" s="23"/>
      <c r="O47" s="23"/>
      <c r="P47" s="23">
        <f t="shared" si="11"/>
        <v>91</v>
      </c>
      <c r="AA47" t="s">
        <v>81</v>
      </c>
      <c r="AB47">
        <v>23</v>
      </c>
      <c r="AC47" s="92">
        <v>22</v>
      </c>
      <c r="AD47" s="93">
        <f>AC47-10*1.6</f>
        <v>6</v>
      </c>
      <c r="AE47" s="93">
        <f>AD47/300</f>
        <v>0.02</v>
      </c>
    </row>
    <row r="48" spans="4:31">
      <c r="D48" s="23">
        <f t="shared" si="8"/>
        <v>17</v>
      </c>
      <c r="E48" s="23"/>
      <c r="F48" s="23"/>
      <c r="G48" s="23"/>
      <c r="H48" s="23">
        <f t="shared" si="9"/>
        <v>42</v>
      </c>
      <c r="I48" s="23"/>
      <c r="J48" s="23"/>
      <c r="K48" s="23"/>
      <c r="L48" s="23">
        <f t="shared" si="10"/>
        <v>67</v>
      </c>
      <c r="M48" s="23"/>
      <c r="N48" s="23"/>
      <c r="O48" s="23"/>
      <c r="P48" s="23">
        <f t="shared" si="11"/>
        <v>92</v>
      </c>
      <c r="AA48" t="s">
        <v>76</v>
      </c>
      <c r="AB48">
        <v>46</v>
      </c>
      <c r="AC48" s="92">
        <v>44.5</v>
      </c>
      <c r="AD48" s="93">
        <f>AC48-$AA$5*1</f>
        <v>14.5</v>
      </c>
      <c r="AE48" s="93">
        <f>AD48/300/1</f>
        <v>0.0483333333333333</v>
      </c>
    </row>
    <row r="49" spans="4:31">
      <c r="D49" s="23">
        <f t="shared" si="8"/>
        <v>18</v>
      </c>
      <c r="E49" s="23"/>
      <c r="F49" s="23"/>
      <c r="G49" s="23"/>
      <c r="H49" s="23">
        <f t="shared" si="9"/>
        <v>43</v>
      </c>
      <c r="I49" s="23"/>
      <c r="J49" s="23"/>
      <c r="K49" s="23"/>
      <c r="L49" s="23">
        <f t="shared" si="10"/>
        <v>68</v>
      </c>
      <c r="M49" s="23"/>
      <c r="N49" s="23"/>
      <c r="O49" s="23"/>
      <c r="P49" s="23">
        <f t="shared" si="11"/>
        <v>93</v>
      </c>
      <c r="AA49" t="s">
        <v>77</v>
      </c>
      <c r="AB49">
        <v>139</v>
      </c>
      <c r="AC49" s="92">
        <f>AB49/1.05</f>
        <v>132.380952380952</v>
      </c>
      <c r="AD49" s="93">
        <f>AC49-$AA$5*3</f>
        <v>42.3809523809524</v>
      </c>
      <c r="AE49" s="93">
        <f>AD49/300/3</f>
        <v>0.0470899470899471</v>
      </c>
    </row>
    <row r="50" spans="4:31">
      <c r="D50" s="23">
        <f t="shared" si="8"/>
        <v>19</v>
      </c>
      <c r="E50" s="23"/>
      <c r="F50" s="23"/>
      <c r="G50" s="23"/>
      <c r="H50" s="23">
        <f t="shared" si="9"/>
        <v>44</v>
      </c>
      <c r="I50" s="23"/>
      <c r="J50" s="23"/>
      <c r="K50" s="23"/>
      <c r="L50" s="23">
        <f t="shared" si="10"/>
        <v>69</v>
      </c>
      <c r="M50" s="23"/>
      <c r="N50" s="23"/>
      <c r="O50" s="23"/>
      <c r="P50" s="23">
        <f t="shared" si="11"/>
        <v>94</v>
      </c>
      <c r="AA50" t="s">
        <v>78</v>
      </c>
      <c r="AB50">
        <v>186</v>
      </c>
      <c r="AC50" s="92">
        <v>177.5</v>
      </c>
      <c r="AD50" s="93">
        <f>AC50-$AA$5*4</f>
        <v>57.5</v>
      </c>
      <c r="AE50" s="93">
        <f>AD50/300/4</f>
        <v>0.0479166666666667</v>
      </c>
    </row>
    <row r="51" spans="4:31">
      <c r="D51" s="23">
        <f t="shared" si="8"/>
        <v>20</v>
      </c>
      <c r="E51" s="23"/>
      <c r="F51" s="23"/>
      <c r="G51" s="23"/>
      <c r="H51" s="23">
        <f t="shared" si="9"/>
        <v>45</v>
      </c>
      <c r="I51" s="23"/>
      <c r="J51" s="23"/>
      <c r="K51" s="23"/>
      <c r="L51" s="23">
        <f t="shared" si="10"/>
        <v>70</v>
      </c>
      <c r="M51" s="23"/>
      <c r="N51" s="23"/>
      <c r="O51" s="23"/>
      <c r="P51" s="23">
        <f t="shared" si="11"/>
        <v>95</v>
      </c>
      <c r="AA51" t="s">
        <v>79</v>
      </c>
      <c r="AB51">
        <v>233</v>
      </c>
      <c r="AC51" s="92">
        <v>222</v>
      </c>
      <c r="AD51" s="93">
        <f>AC51-$AA$5*5</f>
        <v>72</v>
      </c>
      <c r="AE51" s="93">
        <f>AD51/300/5</f>
        <v>0.048</v>
      </c>
    </row>
    <row r="52" spans="4:16">
      <c r="D52" s="23">
        <f t="shared" si="8"/>
        <v>21</v>
      </c>
      <c r="E52" s="23"/>
      <c r="F52" s="23"/>
      <c r="G52" s="23"/>
      <c r="H52" s="23">
        <f t="shared" si="9"/>
        <v>46</v>
      </c>
      <c r="I52" s="23"/>
      <c r="J52" s="23"/>
      <c r="K52" s="23"/>
      <c r="L52" s="23">
        <f t="shared" si="10"/>
        <v>71</v>
      </c>
      <c r="M52" s="23"/>
      <c r="N52" s="23"/>
      <c r="O52" s="23"/>
      <c r="P52" s="23">
        <f t="shared" si="11"/>
        <v>96</v>
      </c>
    </row>
    <row r="53" spans="4:28">
      <c r="D53" s="23">
        <f t="shared" si="8"/>
        <v>22</v>
      </c>
      <c r="E53" s="23"/>
      <c r="F53" s="23"/>
      <c r="G53" s="23"/>
      <c r="H53" s="23">
        <f t="shared" si="9"/>
        <v>47</v>
      </c>
      <c r="I53" s="23"/>
      <c r="J53" s="23"/>
      <c r="K53" s="23"/>
      <c r="L53" s="23">
        <f t="shared" si="10"/>
        <v>72</v>
      </c>
      <c r="M53" s="23"/>
      <c r="N53" s="23"/>
      <c r="O53" s="23"/>
      <c r="P53" s="23">
        <f t="shared" si="11"/>
        <v>97</v>
      </c>
      <c r="AA53" t="s">
        <v>87</v>
      </c>
      <c r="AB53" t="s">
        <v>89</v>
      </c>
    </row>
    <row r="54" spans="4:31">
      <c r="D54" s="23">
        <f t="shared" si="8"/>
        <v>23</v>
      </c>
      <c r="E54" s="23"/>
      <c r="F54" s="23"/>
      <c r="G54" s="23"/>
      <c r="H54" s="23">
        <f t="shared" si="9"/>
        <v>48</v>
      </c>
      <c r="I54" s="23"/>
      <c r="J54" s="23"/>
      <c r="K54" s="23"/>
      <c r="L54" s="23">
        <f t="shared" si="10"/>
        <v>73</v>
      </c>
      <c r="M54" s="23"/>
      <c r="N54" s="23"/>
      <c r="O54" s="23"/>
      <c r="P54" s="23">
        <f t="shared" si="11"/>
        <v>98</v>
      </c>
      <c r="AA54" t="s">
        <v>81</v>
      </c>
      <c r="AB54">
        <v>23</v>
      </c>
      <c r="AC54" s="92">
        <v>48</v>
      </c>
      <c r="AD54" s="93">
        <f>AC54-10*3.6</f>
        <v>12</v>
      </c>
      <c r="AE54" s="93">
        <f>AD54/300</f>
        <v>0.04</v>
      </c>
    </row>
    <row r="55" spans="4:31">
      <c r="D55" s="23">
        <f t="shared" si="8"/>
        <v>24</v>
      </c>
      <c r="E55" s="23"/>
      <c r="F55" s="23"/>
      <c r="G55" s="23"/>
      <c r="H55" s="23">
        <f t="shared" si="9"/>
        <v>49</v>
      </c>
      <c r="I55" s="23"/>
      <c r="J55" s="23"/>
      <c r="K55" s="23"/>
      <c r="L55" s="23">
        <f t="shared" si="10"/>
        <v>74</v>
      </c>
      <c r="M55" s="23"/>
      <c r="N55" s="23"/>
      <c r="O55" s="23"/>
      <c r="P55" s="23">
        <f t="shared" si="11"/>
        <v>99</v>
      </c>
      <c r="AA55" t="s">
        <v>76</v>
      </c>
      <c r="AB55">
        <v>46</v>
      </c>
      <c r="AC55" s="92">
        <v>44</v>
      </c>
      <c r="AD55" s="93">
        <f>AC55-$AA$5*1</f>
        <v>14</v>
      </c>
      <c r="AE55" s="93">
        <f>AD55/300/1</f>
        <v>0.0466666666666667</v>
      </c>
    </row>
    <row r="56" spans="4:31">
      <c r="D56" s="23">
        <f t="shared" si="8"/>
        <v>25</v>
      </c>
      <c r="E56" s="23"/>
      <c r="F56" s="23"/>
      <c r="G56" s="23"/>
      <c r="H56" s="23">
        <f t="shared" si="9"/>
        <v>50</v>
      </c>
      <c r="I56" s="23"/>
      <c r="J56" s="23"/>
      <c r="K56" s="23"/>
      <c r="L56" s="23">
        <f t="shared" si="10"/>
        <v>75</v>
      </c>
      <c r="M56" s="23"/>
      <c r="N56" s="23"/>
      <c r="O56" s="23"/>
      <c r="P56" s="23">
        <f t="shared" si="11"/>
        <v>100</v>
      </c>
      <c r="AA56" s="94" t="s">
        <v>85</v>
      </c>
      <c r="AB56" s="94">
        <v>92</v>
      </c>
      <c r="AC56" s="95" t="s">
        <v>90</v>
      </c>
      <c r="AD56" s="96">
        <f>88.5-$AA$5*2</f>
        <v>28.5</v>
      </c>
      <c r="AE56" s="96">
        <f>AD56/300/2</f>
        <v>0.0475</v>
      </c>
    </row>
    <row r="57" spans="27:31">
      <c r="AA57" t="s">
        <v>77</v>
      </c>
      <c r="AB57">
        <v>139</v>
      </c>
      <c r="AC57" s="92">
        <v>132</v>
      </c>
      <c r="AD57" s="93">
        <f>AC57-$AA$5*3</f>
        <v>42</v>
      </c>
      <c r="AE57" s="93">
        <f>AD57/300/3</f>
        <v>0.0466666666666667</v>
      </c>
    </row>
    <row r="58" spans="27:31">
      <c r="AA58" t="s">
        <v>78</v>
      </c>
      <c r="AB58">
        <v>186</v>
      </c>
      <c r="AC58" s="92" t="s">
        <v>91</v>
      </c>
      <c r="AD58" s="93">
        <f>176-$AA$5*4</f>
        <v>56</v>
      </c>
      <c r="AE58" s="93">
        <f>AD58/300/4</f>
        <v>0.0466666666666667</v>
      </c>
    </row>
    <row r="59" spans="27:31">
      <c r="AA59" t="s">
        <v>79</v>
      </c>
      <c r="AB59">
        <v>233</v>
      </c>
      <c r="AC59" s="92">
        <v>221</v>
      </c>
      <c r="AD59" s="93">
        <f>AC59-$AA$5*5</f>
        <v>71</v>
      </c>
      <c r="AE59" s="93">
        <f>AD59/300/5</f>
        <v>0.0473333333333333</v>
      </c>
    </row>
  </sheetData>
  <mergeCells count="57">
    <mergeCell ref="A1:B1"/>
    <mergeCell ref="E1:F1"/>
    <mergeCell ref="I1:J1"/>
    <mergeCell ref="M1:N1"/>
    <mergeCell ref="Y1:Z1"/>
    <mergeCell ref="AB1:AC1"/>
    <mergeCell ref="AE1:AF1"/>
    <mergeCell ref="A2:B2"/>
    <mergeCell ref="E2:F2"/>
    <mergeCell ref="I2:J2"/>
    <mergeCell ref="M2:N2"/>
    <mergeCell ref="Y2:Z2"/>
    <mergeCell ref="AB2:AC2"/>
    <mergeCell ref="AE2:AF2"/>
    <mergeCell ref="A3:B3"/>
    <mergeCell ref="E3:F3"/>
    <mergeCell ref="I3:J3"/>
    <mergeCell ref="M3:N3"/>
    <mergeCell ref="Y3:Z3"/>
    <mergeCell ref="AB3:AC3"/>
    <mergeCell ref="AE3:AF3"/>
    <mergeCell ref="Y4:Z4"/>
    <mergeCell ref="AB4:AC4"/>
    <mergeCell ref="AE4:AF4"/>
    <mergeCell ref="Y5:Z5"/>
    <mergeCell ref="AB5:AC5"/>
    <mergeCell ref="AE5:AF5"/>
    <mergeCell ref="Y6:Z6"/>
    <mergeCell ref="AB6:AC6"/>
    <mergeCell ref="AE6:AF6"/>
    <mergeCell ref="Y7:Z7"/>
    <mergeCell ref="AB7:AC7"/>
    <mergeCell ref="AE7:AF7"/>
    <mergeCell ref="Y8:Z8"/>
    <mergeCell ref="Y9:Z9"/>
    <mergeCell ref="Y10:Z10"/>
    <mergeCell ref="Y11:Z11"/>
    <mergeCell ref="Y12:Z12"/>
    <mergeCell ref="Y13:Z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S1:S3"/>
    <mergeCell ref="Q1:R3"/>
  </mergeCells>
  <dataValidations count="8">
    <dataValidation type="decimal" operator="between" allowBlank="1" showInputMessage="1" showErrorMessage="1" sqref="B1">
      <formula1>0.1</formula1>
      <formula2>4</formula2>
    </dataValidation>
    <dataValidation type="list" allowBlank="1" showInputMessage="1" showErrorMessage="1" sqref="J2 K2">
      <formula1>"0,1,2"</formula1>
    </dataValidation>
    <dataValidation type="whole" operator="between" allowBlank="1" showInputMessage="1" showErrorMessage="1" sqref="B2">
      <formula1>0</formula1>
      <formula2>99999</formula2>
    </dataValidation>
    <dataValidation type="list" allowBlank="1" showInputMessage="1" showErrorMessage="1" sqref="P1">
      <formula1>"否"</formula1>
    </dataValidation>
    <dataValidation type="list" allowBlank="1" showInputMessage="1" showErrorMessage="1" sqref="H1 K1 M1 H2 M2 E3 H3 M3">
      <formula1>"是,否"</formula1>
    </dataValidation>
    <dataValidation type="list" allowBlank="1" showInputMessage="1" showErrorMessage="1" sqref="P2 P3">
      <formula1>"是"</formula1>
    </dataValidation>
    <dataValidation type="list" allowBlank="1" showInputMessage="1" showErrorMessage="1" sqref="B3">
      <formula1>"70,71,72,73,首领"</formula1>
    </dataValidation>
    <dataValidation type="list" allowBlank="1" showInputMessage="1" showErrorMessage="1" sqref="K3">
      <formula1>"0,1,2,3,4,5"</formula1>
    </dataValidation>
  </dataValidation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3"/>
  <sheetViews>
    <sheetView topLeftCell="A25" workbookViewId="0">
      <selection activeCell="L45" sqref="L45:L48"/>
    </sheetView>
  </sheetViews>
  <sheetFormatPr defaultColWidth="8.88888888888889" defaultRowHeight="14.4"/>
  <cols>
    <col min="1" max="1" width="13" customWidth="1"/>
    <col min="4" max="4" width="8.66666666666667" customWidth="1"/>
    <col min="9" max="12" width="12.8888888888889"/>
    <col min="13" max="13" width="9.22222222222222" customWidth="1"/>
    <col min="16" max="16" width="11.8888888888889" customWidth="1"/>
    <col min="17" max="17" width="14.1111111111111" customWidth="1"/>
    <col min="18" max="18" width="12.8888888888889"/>
  </cols>
  <sheetData>
    <row r="1" spans="2:15">
      <c r="B1" t="s">
        <v>92</v>
      </c>
      <c r="C1" t="s">
        <v>93</v>
      </c>
      <c r="H1" s="7" t="s">
        <v>9</v>
      </c>
      <c r="I1" s="7"/>
      <c r="J1" s="5" t="s">
        <v>94</v>
      </c>
      <c r="K1" s="1" t="s">
        <v>10</v>
      </c>
      <c r="L1" s="1"/>
      <c r="M1" s="3" t="s">
        <v>95</v>
      </c>
      <c r="O1" t="s">
        <v>96</v>
      </c>
    </row>
    <row r="2" spans="1:13">
      <c r="A2" t="s">
        <v>97</v>
      </c>
      <c r="F2" t="s">
        <v>98</v>
      </c>
      <c r="H2" s="4" t="s">
        <v>18</v>
      </c>
      <c r="I2" s="4"/>
      <c r="J2" s="5">
        <v>235</v>
      </c>
      <c r="K2" s="4" t="s">
        <v>19</v>
      </c>
      <c r="L2" s="4"/>
      <c r="M2" s="6">
        <v>0.79</v>
      </c>
    </row>
    <row r="3" spans="1:8">
      <c r="A3" t="s">
        <v>74</v>
      </c>
      <c r="B3" t="s">
        <v>75</v>
      </c>
      <c r="C3" t="s">
        <v>99</v>
      </c>
      <c r="F3" t="s">
        <v>87</v>
      </c>
      <c r="G3">
        <v>1.6</v>
      </c>
      <c r="H3" t="s">
        <v>99</v>
      </c>
    </row>
    <row r="4" spans="1:11">
      <c r="A4" t="s">
        <v>76</v>
      </c>
      <c r="B4">
        <v>51</v>
      </c>
      <c r="C4" s="92">
        <f t="shared" ref="C4:C8" si="0">B4/1.05</f>
        <v>48.5714285714286</v>
      </c>
      <c r="D4" s="93"/>
      <c r="E4" s="93"/>
      <c r="F4" t="s">
        <v>98</v>
      </c>
      <c r="G4" t="s">
        <v>100</v>
      </c>
      <c r="H4">
        <v>97</v>
      </c>
      <c r="I4">
        <f>26.7*1.6</f>
        <v>42.72</v>
      </c>
      <c r="J4">
        <f>(H4-I4)/300</f>
        <v>0.180933333333333</v>
      </c>
      <c r="K4">
        <f>(H4-H16)/300/1.6</f>
        <v>0.110416666666667</v>
      </c>
    </row>
    <row r="5" spans="1:10">
      <c r="A5" t="s">
        <v>77</v>
      </c>
      <c r="B5">
        <v>151</v>
      </c>
      <c r="C5" s="92">
        <f t="shared" si="0"/>
        <v>143.809523809524</v>
      </c>
      <c r="D5" s="93"/>
      <c r="E5" s="93"/>
      <c r="F5" t="s">
        <v>101</v>
      </c>
      <c r="G5" t="s">
        <v>102</v>
      </c>
      <c r="H5">
        <v>464</v>
      </c>
      <c r="I5">
        <v>235</v>
      </c>
      <c r="J5">
        <f>(H5-I5)/300</f>
        <v>0.763333333333333</v>
      </c>
    </row>
    <row r="6" spans="1:5">
      <c r="A6" t="s">
        <v>78</v>
      </c>
      <c r="B6">
        <v>202</v>
      </c>
      <c r="C6" s="92">
        <f t="shared" si="0"/>
        <v>192.380952380952</v>
      </c>
      <c r="D6" s="93"/>
      <c r="E6" s="93"/>
    </row>
    <row r="7" spans="1:8">
      <c r="A7" t="s">
        <v>79</v>
      </c>
      <c r="B7">
        <v>252</v>
      </c>
      <c r="C7" s="92">
        <f t="shared" si="0"/>
        <v>240</v>
      </c>
      <c r="D7" s="93"/>
      <c r="E7" s="93"/>
      <c r="F7" t="s">
        <v>87</v>
      </c>
      <c r="G7">
        <v>2.3</v>
      </c>
      <c r="H7" t="s">
        <v>99</v>
      </c>
    </row>
    <row r="8" spans="1:12">
      <c r="A8" t="s">
        <v>80</v>
      </c>
      <c r="B8">
        <v>810</v>
      </c>
      <c r="C8" s="92">
        <f t="shared" si="0"/>
        <v>771.428571428571</v>
      </c>
      <c r="D8" s="93"/>
      <c r="E8" s="93"/>
      <c r="F8" t="s">
        <v>98</v>
      </c>
      <c r="G8" t="s">
        <v>103</v>
      </c>
      <c r="H8">
        <v>134</v>
      </c>
      <c r="I8">
        <f>26.7*G7</f>
        <v>61.41</v>
      </c>
      <c r="J8">
        <f>H8-I8</f>
        <v>72.59</v>
      </c>
      <c r="K8">
        <f>J8/300</f>
        <v>0.241966666666667</v>
      </c>
      <c r="L8">
        <f>(H8-H20)/300/2.3</f>
        <v>0.107246376811594</v>
      </c>
    </row>
    <row r="9" spans="1:11">
      <c r="A9" t="s">
        <v>81</v>
      </c>
      <c r="B9">
        <v>27</v>
      </c>
      <c r="C9" s="92">
        <v>26</v>
      </c>
      <c r="D9" s="93"/>
      <c r="E9" s="93"/>
      <c r="F9" t="s">
        <v>101</v>
      </c>
      <c r="G9">
        <v>487</v>
      </c>
      <c r="H9">
        <v>464</v>
      </c>
      <c r="I9">
        <v>235</v>
      </c>
      <c r="J9">
        <f>H9-I9</f>
        <v>229</v>
      </c>
      <c r="K9">
        <f>J9/300</f>
        <v>0.763333333333333</v>
      </c>
    </row>
    <row r="10" spans="1:5">
      <c r="A10" t="s">
        <v>82</v>
      </c>
      <c r="B10">
        <v>306</v>
      </c>
      <c r="C10" s="92">
        <f t="shared" ref="C10:C14" si="1">B10/1.05</f>
        <v>291.428571428571</v>
      </c>
      <c r="D10" s="93"/>
      <c r="E10" s="93"/>
    </row>
    <row r="11" spans="6:8">
      <c r="F11" t="s">
        <v>87</v>
      </c>
      <c r="G11">
        <v>3.6</v>
      </c>
      <c r="H11" t="s">
        <v>104</v>
      </c>
    </row>
    <row r="12" spans="1:12">
      <c r="A12" t="s">
        <v>83</v>
      </c>
      <c r="B12" t="s">
        <v>84</v>
      </c>
      <c r="F12" t="s">
        <v>98</v>
      </c>
      <c r="G12" t="s">
        <v>105</v>
      </c>
      <c r="H12">
        <v>283</v>
      </c>
      <c r="I12">
        <f>26.7*G11</f>
        <v>96.12</v>
      </c>
      <c r="J12">
        <f>H12-I12</f>
        <v>186.88</v>
      </c>
      <c r="K12">
        <f>J12/300</f>
        <v>0.622933333333333</v>
      </c>
      <c r="L12">
        <f>(H12-H24)/300/3.6</f>
        <v>0.12962962962963</v>
      </c>
    </row>
    <row r="13" spans="1:17">
      <c r="A13" t="s">
        <v>85</v>
      </c>
      <c r="B13">
        <v>63</v>
      </c>
      <c r="C13">
        <f t="shared" si="1"/>
        <v>60</v>
      </c>
      <c r="F13" t="s">
        <v>101</v>
      </c>
      <c r="G13">
        <v>464</v>
      </c>
      <c r="H13">
        <v>464</v>
      </c>
      <c r="I13">
        <v>235</v>
      </c>
      <c r="J13">
        <f>H13-I13</f>
        <v>229</v>
      </c>
      <c r="K13">
        <f>J13/300</f>
        <v>0.763333333333333</v>
      </c>
      <c r="P13" t="s">
        <v>106</v>
      </c>
      <c r="Q13" t="s">
        <v>107</v>
      </c>
    </row>
    <row r="14" spans="1:3">
      <c r="A14" t="s">
        <v>86</v>
      </c>
      <c r="B14">
        <v>252</v>
      </c>
      <c r="C14">
        <f t="shared" si="1"/>
        <v>240</v>
      </c>
    </row>
    <row r="15" spans="6:14">
      <c r="F15" t="s">
        <v>108</v>
      </c>
      <c r="G15">
        <v>1.6</v>
      </c>
      <c r="H15" t="s">
        <v>99</v>
      </c>
      <c r="L15" t="s">
        <v>87</v>
      </c>
      <c r="M15">
        <v>1.6</v>
      </c>
      <c r="N15" t="s">
        <v>99</v>
      </c>
    </row>
    <row r="16" spans="1:18">
      <c r="A16" t="s">
        <v>87</v>
      </c>
      <c r="B16" t="s">
        <v>88</v>
      </c>
      <c r="C16" t="s">
        <v>99</v>
      </c>
      <c r="F16" t="s">
        <v>98</v>
      </c>
      <c r="G16">
        <v>47</v>
      </c>
      <c r="H16">
        <v>44</v>
      </c>
      <c r="I16">
        <f>H16/G15</f>
        <v>27.5</v>
      </c>
      <c r="L16" t="s">
        <v>98</v>
      </c>
      <c r="M16" t="s">
        <v>100</v>
      </c>
      <c r="N16">
        <v>96</v>
      </c>
      <c r="P16">
        <f>N16-H16</f>
        <v>52</v>
      </c>
      <c r="Q16">
        <f>P16/300</f>
        <v>0.173333333333333</v>
      </c>
      <c r="R16">
        <f>Q16/M15</f>
        <v>0.108333333333333</v>
      </c>
    </row>
    <row r="17" spans="1:12">
      <c r="A17" t="s">
        <v>79</v>
      </c>
      <c r="B17">
        <v>233</v>
      </c>
      <c r="C17" s="92">
        <v>222</v>
      </c>
      <c r="D17" s="93"/>
      <c r="E17" s="93"/>
      <c r="F17" t="s">
        <v>101</v>
      </c>
      <c r="L17" t="s">
        <v>101</v>
      </c>
    </row>
    <row r="18" spans="1:5">
      <c r="A18" t="s">
        <v>81</v>
      </c>
      <c r="B18">
        <v>33</v>
      </c>
      <c r="C18" s="92">
        <v>31</v>
      </c>
      <c r="D18" s="93"/>
      <c r="E18" s="93"/>
    </row>
    <row r="19" spans="1:14">
      <c r="A19" t="s">
        <v>80</v>
      </c>
      <c r="B19">
        <v>765</v>
      </c>
      <c r="C19" s="92">
        <f>B19/1.05</f>
        <v>728.571428571429</v>
      </c>
      <c r="D19" s="93"/>
      <c r="F19" t="s">
        <v>108</v>
      </c>
      <c r="G19">
        <v>2.3</v>
      </c>
      <c r="H19" t="s">
        <v>99</v>
      </c>
      <c r="L19" t="s">
        <v>87</v>
      </c>
      <c r="M19">
        <v>2.3</v>
      </c>
      <c r="N19" t="s">
        <v>99</v>
      </c>
    </row>
    <row r="20" spans="1:18">
      <c r="A20" t="s">
        <v>76</v>
      </c>
      <c r="B20">
        <v>46</v>
      </c>
      <c r="C20" s="92">
        <v>44.5</v>
      </c>
      <c r="D20" s="93"/>
      <c r="E20" s="93"/>
      <c r="F20" t="s">
        <v>98</v>
      </c>
      <c r="G20" t="s">
        <v>109</v>
      </c>
      <c r="H20">
        <v>60</v>
      </c>
      <c r="I20">
        <f>H20/G19</f>
        <v>26.0869565217391</v>
      </c>
      <c r="L20" t="s">
        <v>98</v>
      </c>
      <c r="M20" t="s">
        <v>103</v>
      </c>
      <c r="N20">
        <v>133</v>
      </c>
      <c r="P20">
        <f>N20-H20</f>
        <v>73</v>
      </c>
      <c r="Q20">
        <f>P20/300</f>
        <v>0.243333333333333</v>
      </c>
      <c r="R20">
        <f>Q20/M19</f>
        <v>0.105797101449275</v>
      </c>
    </row>
    <row r="21" spans="1:12">
      <c r="A21" t="s">
        <v>85</v>
      </c>
      <c r="B21">
        <v>92</v>
      </c>
      <c r="C21" s="92">
        <v>88</v>
      </c>
      <c r="D21" s="93"/>
      <c r="E21" s="93"/>
      <c r="F21" t="s">
        <v>101</v>
      </c>
      <c r="G21">
        <v>247</v>
      </c>
      <c r="L21" t="s">
        <v>101</v>
      </c>
    </row>
    <row r="22" spans="1:5">
      <c r="A22" t="s">
        <v>77</v>
      </c>
      <c r="B22">
        <v>140</v>
      </c>
      <c r="C22" s="92">
        <f>B22/1.05</f>
        <v>133.333333333333</v>
      </c>
      <c r="D22" s="93"/>
      <c r="E22" s="93"/>
    </row>
    <row r="23" spans="1:8">
      <c r="A23" t="s">
        <v>78</v>
      </c>
      <c r="B23">
        <v>186</v>
      </c>
      <c r="C23" s="92">
        <v>177.5</v>
      </c>
      <c r="D23" s="93"/>
      <c r="E23" s="93"/>
      <c r="F23" t="s">
        <v>108</v>
      </c>
      <c r="G23">
        <v>3.6</v>
      </c>
      <c r="H23" t="s">
        <v>104</v>
      </c>
    </row>
    <row r="24" spans="1:9">
      <c r="A24" t="s">
        <v>79</v>
      </c>
      <c r="B24">
        <v>233</v>
      </c>
      <c r="C24" s="92">
        <v>222</v>
      </c>
      <c r="D24" s="93"/>
      <c r="E24" s="93"/>
      <c r="F24" t="s">
        <v>98</v>
      </c>
      <c r="G24">
        <v>143</v>
      </c>
      <c r="H24">
        <v>143</v>
      </c>
      <c r="I24">
        <f>H24/G23</f>
        <v>39.7222222222222</v>
      </c>
    </row>
    <row r="25" spans="3:6">
      <c r="C25" s="92"/>
      <c r="F25" t="s">
        <v>101</v>
      </c>
    </row>
    <row r="26" spans="1:3">
      <c r="A26" t="s">
        <v>87</v>
      </c>
      <c r="B26" t="s">
        <v>84</v>
      </c>
      <c r="C26" t="s">
        <v>99</v>
      </c>
    </row>
    <row r="27" spans="1:16">
      <c r="A27" t="s">
        <v>81</v>
      </c>
      <c r="B27">
        <v>23</v>
      </c>
      <c r="C27" s="92">
        <v>22</v>
      </c>
      <c r="D27" s="93"/>
      <c r="E27" s="93"/>
      <c r="F27" t="s">
        <v>108</v>
      </c>
      <c r="G27">
        <v>1.5</v>
      </c>
      <c r="H27" t="s">
        <v>99</v>
      </c>
      <c r="L27" t="s">
        <v>87</v>
      </c>
      <c r="M27">
        <v>1.5</v>
      </c>
      <c r="N27" t="s">
        <v>99</v>
      </c>
      <c r="P27">
        <f>P28/M27</f>
        <v>32</v>
      </c>
    </row>
    <row r="28" spans="1:18">
      <c r="A28" t="s">
        <v>76</v>
      </c>
      <c r="B28">
        <v>46</v>
      </c>
      <c r="C28" s="92">
        <v>44.5</v>
      </c>
      <c r="D28" s="93"/>
      <c r="E28" s="93"/>
      <c r="F28" t="s">
        <v>98</v>
      </c>
      <c r="H28">
        <v>39</v>
      </c>
      <c r="I28">
        <f>H28/G27</f>
        <v>26</v>
      </c>
      <c r="L28" t="s">
        <v>98</v>
      </c>
      <c r="M28" t="s">
        <v>110</v>
      </c>
      <c r="N28">
        <v>87</v>
      </c>
      <c r="P28">
        <f>N28-H28</f>
        <v>48</v>
      </c>
      <c r="Q28">
        <f>P28/300</f>
        <v>0.16</v>
      </c>
      <c r="R28">
        <f>Q28/M27</f>
        <v>0.106666666666667</v>
      </c>
    </row>
    <row r="29" spans="1:16">
      <c r="A29" t="s">
        <v>77</v>
      </c>
      <c r="B29">
        <v>139</v>
      </c>
      <c r="C29" s="92">
        <f>B29/1.05</f>
        <v>132.380952380952</v>
      </c>
      <c r="D29" s="93"/>
      <c r="E29" s="93"/>
      <c r="F29" t="s">
        <v>101</v>
      </c>
      <c r="L29" t="s">
        <v>101</v>
      </c>
      <c r="P29">
        <f>1.5/3.5</f>
        <v>0.428571428571429</v>
      </c>
    </row>
    <row r="30" spans="1:5">
      <c r="A30" t="s">
        <v>78</v>
      </c>
      <c r="B30">
        <v>186</v>
      </c>
      <c r="C30" s="92">
        <v>177.5</v>
      </c>
      <c r="D30" s="93"/>
      <c r="E30" s="93"/>
    </row>
    <row r="31" spans="1:16">
      <c r="A31" t="s">
        <v>79</v>
      </c>
      <c r="B31">
        <v>233</v>
      </c>
      <c r="C31" s="92">
        <v>222</v>
      </c>
      <c r="D31" s="93"/>
      <c r="E31" s="93"/>
      <c r="F31" t="s">
        <v>108</v>
      </c>
      <c r="G31">
        <v>2.5</v>
      </c>
      <c r="H31" t="s">
        <v>99</v>
      </c>
      <c r="L31" t="s">
        <v>87</v>
      </c>
      <c r="M31">
        <v>2.5</v>
      </c>
      <c r="N31" t="s">
        <v>99</v>
      </c>
      <c r="P31">
        <f>P32/M31</f>
        <v>31.6</v>
      </c>
    </row>
    <row r="32" spans="6:18">
      <c r="F32" t="s">
        <v>98</v>
      </c>
      <c r="H32">
        <v>64</v>
      </c>
      <c r="I32">
        <f>H32/G31</f>
        <v>25.6</v>
      </c>
      <c r="L32" t="s">
        <v>98</v>
      </c>
      <c r="M32" t="s">
        <v>111</v>
      </c>
      <c r="N32">
        <v>143</v>
      </c>
      <c r="P32">
        <f>N32-H32</f>
        <v>79</v>
      </c>
      <c r="Q32">
        <f>P32/300</f>
        <v>0.263333333333333</v>
      </c>
      <c r="R32">
        <f>Q32/M31</f>
        <v>0.105333333333333</v>
      </c>
    </row>
    <row r="33" spans="1:16">
      <c r="A33" t="s">
        <v>87</v>
      </c>
      <c r="B33" t="s">
        <v>89</v>
      </c>
      <c r="C33" t="s">
        <v>104</v>
      </c>
      <c r="F33" t="s">
        <v>101</v>
      </c>
      <c r="L33" t="s">
        <v>101</v>
      </c>
      <c r="P33">
        <f>2.5/3.5</f>
        <v>0.714285714285714</v>
      </c>
    </row>
    <row r="34" spans="1:5">
      <c r="A34" t="s">
        <v>81</v>
      </c>
      <c r="B34">
        <v>23</v>
      </c>
      <c r="C34" s="92">
        <v>48</v>
      </c>
      <c r="D34" s="93"/>
      <c r="E34" s="93"/>
    </row>
    <row r="35" spans="1:17">
      <c r="A35" t="s">
        <v>76</v>
      </c>
      <c r="B35">
        <v>46</v>
      </c>
      <c r="C35" s="92">
        <v>44</v>
      </c>
      <c r="D35" s="93"/>
      <c r="E35" s="93"/>
      <c r="F35" t="s">
        <v>108</v>
      </c>
      <c r="G35">
        <v>1.9</v>
      </c>
      <c r="H35" t="s">
        <v>99</v>
      </c>
      <c r="L35" t="s">
        <v>87</v>
      </c>
      <c r="M35">
        <v>1.9</v>
      </c>
      <c r="N35" t="s">
        <v>99</v>
      </c>
      <c r="P35">
        <f>P36/M35</f>
        <v>32.1052631578947</v>
      </c>
      <c r="Q35">
        <f>M35/3.5*300*0.375</f>
        <v>61.0714285714286</v>
      </c>
    </row>
    <row r="36" spans="1:18">
      <c r="A36" s="94" t="s">
        <v>85</v>
      </c>
      <c r="B36" s="94">
        <v>92</v>
      </c>
      <c r="C36" s="95" t="s">
        <v>90</v>
      </c>
      <c r="D36" s="96"/>
      <c r="E36" s="96"/>
      <c r="F36" t="s">
        <v>98</v>
      </c>
      <c r="H36">
        <v>48</v>
      </c>
      <c r="I36">
        <f>H36/G35</f>
        <v>25.2631578947368</v>
      </c>
      <c r="L36" t="s">
        <v>98</v>
      </c>
      <c r="M36" t="s">
        <v>112</v>
      </c>
      <c r="N36">
        <v>109</v>
      </c>
      <c r="P36">
        <f>N36-H36</f>
        <v>61</v>
      </c>
      <c r="Q36">
        <f>P36/300</f>
        <v>0.203333333333333</v>
      </c>
      <c r="R36">
        <f>Q36/M35</f>
        <v>0.107017543859649</v>
      </c>
    </row>
    <row r="37" spans="1:16">
      <c r="A37" t="s">
        <v>77</v>
      </c>
      <c r="B37">
        <v>139</v>
      </c>
      <c r="C37" s="92">
        <v>132</v>
      </c>
      <c r="D37" s="93"/>
      <c r="E37" s="93"/>
      <c r="F37" t="s">
        <v>101</v>
      </c>
      <c r="L37" t="s">
        <v>101</v>
      </c>
      <c r="P37">
        <f>1.9/3.5</f>
        <v>0.542857142857143</v>
      </c>
    </row>
    <row r="38" spans="1:5">
      <c r="A38" t="s">
        <v>78</v>
      </c>
      <c r="B38">
        <v>186</v>
      </c>
      <c r="C38" s="92" t="s">
        <v>91</v>
      </c>
      <c r="D38" s="93"/>
      <c r="E38" s="93"/>
    </row>
    <row r="39" spans="1:5">
      <c r="A39" t="s">
        <v>79</v>
      </c>
      <c r="B39">
        <v>233</v>
      </c>
      <c r="C39" s="92">
        <v>221</v>
      </c>
      <c r="D39" s="93"/>
      <c r="E39" s="93"/>
    </row>
    <row r="41" spans="1:17">
      <c r="A41" t="s">
        <v>113</v>
      </c>
      <c r="B41" t="s">
        <v>81</v>
      </c>
      <c r="L41" s="7" t="s">
        <v>26</v>
      </c>
      <c r="M41" s="7"/>
      <c r="N41" s="5" t="s">
        <v>114</v>
      </c>
      <c r="O41" s="7" t="s">
        <v>27</v>
      </c>
      <c r="P41" s="7"/>
      <c r="Q41" s="8" t="s">
        <v>115</v>
      </c>
    </row>
    <row r="42" spans="1:17">
      <c r="A42" t="s">
        <v>108</v>
      </c>
      <c r="B42" t="s">
        <v>84</v>
      </c>
      <c r="C42" t="s">
        <v>99</v>
      </c>
      <c r="F42" t="s">
        <v>108</v>
      </c>
      <c r="G42" t="s">
        <v>89</v>
      </c>
      <c r="H42" t="s">
        <v>104</v>
      </c>
      <c r="L42" s="4" t="s">
        <v>33</v>
      </c>
      <c r="M42" s="4"/>
      <c r="N42" s="100">
        <f>120</f>
        <v>120</v>
      </c>
      <c r="O42" s="4" t="s">
        <v>34</v>
      </c>
      <c r="P42" s="4"/>
      <c r="Q42" s="6">
        <f>0.43</f>
        <v>0.43</v>
      </c>
    </row>
    <row r="43" spans="1:17">
      <c r="A43" t="s">
        <v>81</v>
      </c>
      <c r="B43">
        <v>21</v>
      </c>
      <c r="C43">
        <f>10*1.6</f>
        <v>16</v>
      </c>
      <c r="D43" s="99">
        <f>B43/1.05-C43</f>
        <v>4</v>
      </c>
      <c r="F43" t="s">
        <v>81</v>
      </c>
      <c r="H43">
        <v>45</v>
      </c>
      <c r="I43">
        <f>10*3.6</f>
        <v>36</v>
      </c>
      <c r="J43">
        <f t="shared" ref="J43:J49" si="2">H43-I43</f>
        <v>9</v>
      </c>
      <c r="L43" s="7" t="s">
        <v>36</v>
      </c>
      <c r="M43" s="7"/>
      <c r="N43" s="5">
        <f>150/5</f>
        <v>30</v>
      </c>
      <c r="O43" s="7" t="s">
        <v>37</v>
      </c>
      <c r="P43" s="7"/>
      <c r="Q43" s="8">
        <f>0.047+(0.18/5*0)</f>
        <v>0.047</v>
      </c>
    </row>
    <row r="44" spans="1:10">
      <c r="A44" t="s">
        <v>76</v>
      </c>
      <c r="B44">
        <v>39</v>
      </c>
      <c r="C44">
        <v>30</v>
      </c>
      <c r="D44" s="99">
        <f t="shared" ref="D44:D52" si="3">B44/1.05-C44</f>
        <v>7.14285714285714</v>
      </c>
      <c r="F44" t="s">
        <v>76</v>
      </c>
      <c r="H44">
        <v>38</v>
      </c>
      <c r="I44">
        <v>30</v>
      </c>
      <c r="J44">
        <f t="shared" si="2"/>
        <v>8</v>
      </c>
    </row>
    <row r="45" spans="1:12">
      <c r="A45" s="94" t="s">
        <v>85</v>
      </c>
      <c r="B45">
        <v>70</v>
      </c>
      <c r="C45">
        <v>60</v>
      </c>
      <c r="D45" s="99">
        <f t="shared" si="3"/>
        <v>6.66666666666666</v>
      </c>
      <c r="F45" s="94" t="s">
        <v>85</v>
      </c>
      <c r="H45">
        <v>67</v>
      </c>
      <c r="I45">
        <v>60</v>
      </c>
      <c r="J45">
        <f t="shared" si="2"/>
        <v>7</v>
      </c>
      <c r="L45" t="s">
        <v>116</v>
      </c>
    </row>
    <row r="46" spans="1:12">
      <c r="A46" t="s">
        <v>77</v>
      </c>
      <c r="B46">
        <v>102</v>
      </c>
      <c r="C46">
        <v>90</v>
      </c>
      <c r="D46" s="99">
        <f t="shared" si="3"/>
        <v>7.14285714285714</v>
      </c>
      <c r="F46" t="s">
        <v>77</v>
      </c>
      <c r="H46">
        <v>97</v>
      </c>
      <c r="I46">
        <v>90</v>
      </c>
      <c r="J46">
        <f t="shared" si="2"/>
        <v>7</v>
      </c>
      <c r="L46" t="s">
        <v>117</v>
      </c>
    </row>
    <row r="47" spans="1:12">
      <c r="A47" t="s">
        <v>78</v>
      </c>
      <c r="B47">
        <v>133</v>
      </c>
      <c r="C47">
        <v>120</v>
      </c>
      <c r="D47" s="99">
        <f t="shared" si="3"/>
        <v>6.66666666666666</v>
      </c>
      <c r="F47" t="s">
        <v>78</v>
      </c>
      <c r="H47">
        <v>127</v>
      </c>
      <c r="I47">
        <v>120</v>
      </c>
      <c r="J47">
        <f t="shared" si="2"/>
        <v>7</v>
      </c>
      <c r="L47" t="s">
        <v>118</v>
      </c>
    </row>
    <row r="48" spans="1:12">
      <c r="A48" t="s">
        <v>79</v>
      </c>
      <c r="B48">
        <v>165</v>
      </c>
      <c r="C48">
        <v>150</v>
      </c>
      <c r="D48" s="99">
        <f t="shared" si="3"/>
        <v>7.14285714285714</v>
      </c>
      <c r="F48" t="s">
        <v>79</v>
      </c>
      <c r="H48">
        <v>157</v>
      </c>
      <c r="I48">
        <v>150</v>
      </c>
      <c r="J48">
        <f t="shared" si="2"/>
        <v>7</v>
      </c>
      <c r="L48" t="s">
        <v>119</v>
      </c>
    </row>
    <row r="49" spans="1:10">
      <c r="A49" t="s">
        <v>80</v>
      </c>
      <c r="B49">
        <v>724</v>
      </c>
      <c r="C49">
        <v>600</v>
      </c>
      <c r="D49" s="99">
        <f t="shared" si="3"/>
        <v>89.5238095238095</v>
      </c>
      <c r="F49" t="s">
        <v>80</v>
      </c>
      <c r="H49">
        <v>694</v>
      </c>
      <c r="I49">
        <v>600</v>
      </c>
      <c r="J49">
        <f t="shared" si="2"/>
        <v>94</v>
      </c>
    </row>
    <row r="50" spans="1:10">
      <c r="A50" t="s">
        <v>86</v>
      </c>
      <c r="B50">
        <v>346</v>
      </c>
      <c r="C50">
        <v>240</v>
      </c>
      <c r="D50" s="99">
        <f t="shared" si="3"/>
        <v>89.5238095238095</v>
      </c>
      <c r="F50" t="s">
        <v>86</v>
      </c>
      <c r="H50">
        <v>334</v>
      </c>
      <c r="I50">
        <v>240</v>
      </c>
      <c r="J50">
        <f t="shared" ref="J50:J64" si="4">H50-I50</f>
        <v>94</v>
      </c>
    </row>
    <row r="51" spans="1:10">
      <c r="A51" t="s">
        <v>120</v>
      </c>
      <c r="B51">
        <v>472</v>
      </c>
      <c r="C51">
        <v>360</v>
      </c>
      <c r="D51" s="99">
        <f t="shared" si="3"/>
        <v>89.5238095238095</v>
      </c>
      <c r="F51" t="s">
        <v>120</v>
      </c>
      <c r="H51">
        <v>454</v>
      </c>
      <c r="I51">
        <v>360</v>
      </c>
      <c r="J51">
        <f t="shared" si="4"/>
        <v>94</v>
      </c>
    </row>
    <row r="52" spans="1:12">
      <c r="A52" t="s">
        <v>82</v>
      </c>
      <c r="B52">
        <v>220</v>
      </c>
      <c r="C52">
        <v>120</v>
      </c>
      <c r="D52" s="99">
        <f t="shared" si="3"/>
        <v>89.5238095238095</v>
      </c>
      <c r="F52" t="s">
        <v>82</v>
      </c>
      <c r="H52">
        <v>214</v>
      </c>
      <c r="I52">
        <v>120</v>
      </c>
      <c r="J52">
        <f t="shared" si="4"/>
        <v>94</v>
      </c>
      <c r="L52" t="s">
        <v>121</v>
      </c>
    </row>
    <row r="53" spans="4:13">
      <c r="D53" s="99"/>
      <c r="L53" t="s">
        <v>122</v>
      </c>
      <c r="M53">
        <v>300</v>
      </c>
    </row>
    <row r="54" spans="1:16">
      <c r="A54" t="s">
        <v>108</v>
      </c>
      <c r="B54" t="s">
        <v>88</v>
      </c>
      <c r="C54" t="s">
        <v>99</v>
      </c>
      <c r="F54" t="s">
        <v>108</v>
      </c>
      <c r="G54" t="s">
        <v>123</v>
      </c>
      <c r="H54" t="s">
        <v>104</v>
      </c>
      <c r="L54" t="s">
        <v>0</v>
      </c>
      <c r="P54" t="s">
        <v>0</v>
      </c>
    </row>
    <row r="55" spans="1:18">
      <c r="A55" t="s">
        <v>81</v>
      </c>
      <c r="B55">
        <v>30</v>
      </c>
      <c r="C55">
        <v>23</v>
      </c>
      <c r="D55" s="99">
        <f t="shared" ref="D55:D63" si="5">B55/1.05-C55</f>
        <v>5.57142857142857</v>
      </c>
      <c r="F55" t="s">
        <v>81</v>
      </c>
      <c r="H55">
        <v>40</v>
      </c>
      <c r="I55">
        <v>32</v>
      </c>
      <c r="J55">
        <f t="shared" si="4"/>
        <v>8</v>
      </c>
      <c r="L55" s="12">
        <v>1.6</v>
      </c>
      <c r="M55" t="s">
        <v>124</v>
      </c>
      <c r="N55" t="s">
        <v>125</v>
      </c>
      <c r="P55" s="12">
        <v>2.3</v>
      </c>
      <c r="Q55" t="s">
        <v>124</v>
      </c>
      <c r="R55" t="s">
        <v>125</v>
      </c>
    </row>
    <row r="56" spans="1:18">
      <c r="A56" t="s">
        <v>76</v>
      </c>
      <c r="B56">
        <v>39</v>
      </c>
      <c r="C56">
        <v>30</v>
      </c>
      <c r="D56" s="99">
        <f t="shared" si="5"/>
        <v>7.14285714285714</v>
      </c>
      <c r="F56" t="s">
        <v>76</v>
      </c>
      <c r="H56">
        <v>38</v>
      </c>
      <c r="I56">
        <v>30</v>
      </c>
      <c r="J56">
        <f t="shared" si="4"/>
        <v>8</v>
      </c>
      <c r="L56" t="s">
        <v>76</v>
      </c>
      <c r="M56" s="101">
        <f>(30+7.65+$Q$43*1*300)*1.05</f>
        <v>54.3375</v>
      </c>
      <c r="N56">
        <v>54</v>
      </c>
      <c r="P56" t="s">
        <v>76</v>
      </c>
      <c r="Q56" s="101">
        <f>(30+7.65+$Q$43*1*300)*1.05</f>
        <v>54.3375</v>
      </c>
      <c r="R56">
        <v>54</v>
      </c>
    </row>
    <row r="57" spans="1:18">
      <c r="A57" s="94" t="s">
        <v>85</v>
      </c>
      <c r="B57">
        <v>71</v>
      </c>
      <c r="C57">
        <v>60</v>
      </c>
      <c r="D57" s="99">
        <f t="shared" si="5"/>
        <v>7.61904761904762</v>
      </c>
      <c r="F57" s="94" t="s">
        <v>85</v>
      </c>
      <c r="H57">
        <v>67</v>
      </c>
      <c r="I57">
        <v>60</v>
      </c>
      <c r="J57">
        <f t="shared" si="4"/>
        <v>7</v>
      </c>
      <c r="L57" s="94" t="s">
        <v>85</v>
      </c>
      <c r="M57" s="101">
        <f>(67.65+$Q$43*2*300)*1.05</f>
        <v>100.6425</v>
      </c>
      <c r="N57">
        <v>100</v>
      </c>
      <c r="P57" s="94" t="s">
        <v>85</v>
      </c>
      <c r="Q57" s="101">
        <f>(67.65+$Q$43*2*300)*1.05</f>
        <v>100.6425</v>
      </c>
      <c r="R57">
        <v>100</v>
      </c>
    </row>
    <row r="58" spans="1:18">
      <c r="A58" t="s">
        <v>77</v>
      </c>
      <c r="B58">
        <v>101</v>
      </c>
      <c r="C58">
        <v>90</v>
      </c>
      <c r="D58" s="99">
        <f t="shared" si="5"/>
        <v>6.19047619047619</v>
      </c>
      <c r="F58" t="s">
        <v>77</v>
      </c>
      <c r="H58">
        <v>97</v>
      </c>
      <c r="I58">
        <v>90</v>
      </c>
      <c r="J58">
        <f t="shared" si="4"/>
        <v>7</v>
      </c>
      <c r="L58" t="s">
        <v>77</v>
      </c>
      <c r="M58" s="101">
        <f>(97.65+$Q$43*3*300)*1.05</f>
        <v>146.9475</v>
      </c>
      <c r="N58">
        <v>147</v>
      </c>
      <c r="P58" t="s">
        <v>77</v>
      </c>
      <c r="Q58" s="101">
        <f>(97.65+$Q$43*3*300)*1.05</f>
        <v>146.9475</v>
      </c>
      <c r="R58">
        <v>146</v>
      </c>
    </row>
    <row r="59" spans="1:18">
      <c r="A59" t="s">
        <v>78</v>
      </c>
      <c r="B59">
        <v>134</v>
      </c>
      <c r="C59">
        <v>120</v>
      </c>
      <c r="D59" s="99">
        <f t="shared" si="5"/>
        <v>7.61904761904762</v>
      </c>
      <c r="F59" t="s">
        <v>78</v>
      </c>
      <c r="H59">
        <v>127</v>
      </c>
      <c r="I59">
        <v>120</v>
      </c>
      <c r="J59">
        <f t="shared" si="4"/>
        <v>7</v>
      </c>
      <c r="L59" t="s">
        <v>78</v>
      </c>
      <c r="M59" s="101">
        <f>(127.65+$Q$43*4*300)*1.05</f>
        <v>193.2525</v>
      </c>
      <c r="N59">
        <v>193</v>
      </c>
      <c r="P59" t="s">
        <v>78</v>
      </c>
      <c r="Q59" s="101">
        <f>(127.65+$Q$43*4*300)*1.05</f>
        <v>193.2525</v>
      </c>
      <c r="R59">
        <v>193</v>
      </c>
    </row>
    <row r="60" spans="1:18">
      <c r="A60" t="s">
        <v>79</v>
      </c>
      <c r="B60">
        <v>165</v>
      </c>
      <c r="C60">
        <v>150</v>
      </c>
      <c r="D60" s="99">
        <f t="shared" si="5"/>
        <v>7.14285714285714</v>
      </c>
      <c r="F60" t="s">
        <v>79</v>
      </c>
      <c r="H60">
        <v>157</v>
      </c>
      <c r="I60">
        <v>150</v>
      </c>
      <c r="J60">
        <f t="shared" si="4"/>
        <v>7</v>
      </c>
      <c r="L60" t="s">
        <v>79</v>
      </c>
      <c r="M60" s="101">
        <f>(157.65+$Q$43*5*300)*1.05</f>
        <v>239.5575</v>
      </c>
      <c r="N60">
        <v>240</v>
      </c>
      <c r="P60" t="s">
        <v>79</v>
      </c>
      <c r="Q60" s="101">
        <f>(157.65+$Q$43*5*300)*1.05</f>
        <v>239.5575</v>
      </c>
      <c r="R60">
        <v>240</v>
      </c>
    </row>
    <row r="61" spans="1:18">
      <c r="A61" t="s">
        <v>80</v>
      </c>
      <c r="B61">
        <v>724</v>
      </c>
      <c r="C61">
        <v>600</v>
      </c>
      <c r="D61" s="99">
        <f t="shared" si="5"/>
        <v>89.5238095238095</v>
      </c>
      <c r="F61" t="s">
        <v>80</v>
      </c>
      <c r="H61">
        <v>694</v>
      </c>
      <c r="I61">
        <v>600</v>
      </c>
      <c r="J61">
        <f t="shared" si="4"/>
        <v>94</v>
      </c>
      <c r="L61" t="s">
        <v>82</v>
      </c>
      <c r="M61" s="101">
        <f>(120+89.524+$Q$42*300)*1.05</f>
        <v>355.4502</v>
      </c>
      <c r="N61">
        <v>355</v>
      </c>
      <c r="P61" t="s">
        <v>82</v>
      </c>
      <c r="Q61" s="101">
        <f>(120+89.524+$Q$42*300)*1.05</f>
        <v>355.4502</v>
      </c>
      <c r="R61">
        <v>355</v>
      </c>
    </row>
    <row r="62" spans="1:18">
      <c r="A62" t="s">
        <v>120</v>
      </c>
      <c r="B62">
        <v>472</v>
      </c>
      <c r="C62">
        <v>360</v>
      </c>
      <c r="D62" s="99">
        <f t="shared" si="5"/>
        <v>89.5238095238095</v>
      </c>
      <c r="F62" t="s">
        <v>86</v>
      </c>
      <c r="H62">
        <v>334</v>
      </c>
      <c r="I62">
        <v>240</v>
      </c>
      <c r="J62">
        <f t="shared" si="4"/>
        <v>94</v>
      </c>
      <c r="L62" t="s">
        <v>120</v>
      </c>
      <c r="M62" s="101">
        <f>(120*3+89.524+$Q$42*300)*1.05</f>
        <v>607.4502</v>
      </c>
      <c r="N62">
        <v>607</v>
      </c>
      <c r="P62" t="s">
        <v>120</v>
      </c>
      <c r="Q62" s="101">
        <f>(120*3+89.524+$Q$42*300)*1.05</f>
        <v>607.4502</v>
      </c>
      <c r="R62">
        <v>607</v>
      </c>
    </row>
    <row r="63" spans="1:18">
      <c r="A63" t="s">
        <v>82</v>
      </c>
      <c r="B63">
        <v>220</v>
      </c>
      <c r="C63">
        <v>120</v>
      </c>
      <c r="D63" s="99">
        <f t="shared" si="5"/>
        <v>89.5238095238095</v>
      </c>
      <c r="F63" t="s">
        <v>120</v>
      </c>
      <c r="H63">
        <v>454</v>
      </c>
      <c r="I63">
        <v>360</v>
      </c>
      <c r="J63">
        <f t="shared" si="4"/>
        <v>94</v>
      </c>
      <c r="L63" t="s">
        <v>80</v>
      </c>
      <c r="M63" s="101">
        <f>(120*5+89.524+$Q$42*300)*1.05</f>
        <v>859.4502</v>
      </c>
      <c r="N63">
        <v>859</v>
      </c>
      <c r="P63" t="s">
        <v>80</v>
      </c>
      <c r="Q63" s="101">
        <f>(120*5+89.524+$Q$42*300)*1.05</f>
        <v>859.4502</v>
      </c>
      <c r="R63">
        <v>859</v>
      </c>
    </row>
    <row r="64" spans="6:18">
      <c r="F64" t="s">
        <v>82</v>
      </c>
      <c r="H64">
        <v>214</v>
      </c>
      <c r="I64">
        <v>120</v>
      </c>
      <c r="J64">
        <f t="shared" si="4"/>
        <v>94</v>
      </c>
      <c r="L64" t="s">
        <v>81</v>
      </c>
      <c r="M64" s="15">
        <f>(L55*10+L55/3.5*8.75+L55/3.5*0.04*300)*1.05</f>
        <v>26.76</v>
      </c>
      <c r="N64">
        <v>27</v>
      </c>
      <c r="P64" t="s">
        <v>81</v>
      </c>
      <c r="Q64" s="15">
        <f>(P55*10+P55/3.5*8.75+P55/3.5*0.04*300)*1.05</f>
        <v>38.4675</v>
      </c>
      <c r="R64">
        <v>38</v>
      </c>
    </row>
    <row r="66" spans="12:16">
      <c r="L66" t="s">
        <v>0</v>
      </c>
      <c r="P66" t="s">
        <v>0</v>
      </c>
    </row>
    <row r="67" spans="12:18">
      <c r="L67" s="12">
        <v>3.2</v>
      </c>
      <c r="M67" t="s">
        <v>124</v>
      </c>
      <c r="N67" t="s">
        <v>125</v>
      </c>
      <c r="P67" s="12">
        <v>3.6</v>
      </c>
      <c r="Q67" t="s">
        <v>124</v>
      </c>
      <c r="R67" t="s">
        <v>125</v>
      </c>
    </row>
    <row r="68" spans="12:18">
      <c r="L68" t="s">
        <v>76</v>
      </c>
      <c r="M68" s="101">
        <f>(30+7.65+$Q$43*1*300)*1</f>
        <v>51.75</v>
      </c>
      <c r="N68">
        <v>51</v>
      </c>
      <c r="P68" t="s">
        <v>76</v>
      </c>
      <c r="Q68" s="101">
        <f>(30+7.65+$Q$43*1*300)*1</f>
        <v>51.75</v>
      </c>
      <c r="R68">
        <v>52</v>
      </c>
    </row>
    <row r="69" spans="12:18">
      <c r="L69" s="94" t="s">
        <v>85</v>
      </c>
      <c r="M69" s="101">
        <f>(67.65+$Q$43*2*300)*1</f>
        <v>95.85</v>
      </c>
      <c r="N69">
        <v>96</v>
      </c>
      <c r="P69" s="94" t="s">
        <v>85</v>
      </c>
      <c r="Q69" s="101">
        <f>(67.65+$Q$43*2*300)*1</f>
        <v>95.85</v>
      </c>
      <c r="R69">
        <v>96</v>
      </c>
    </row>
    <row r="70" spans="12:18">
      <c r="L70" t="s">
        <v>77</v>
      </c>
      <c r="M70" s="101">
        <f>(97.65+$Q$43*3*300)*1</f>
        <v>139.95</v>
      </c>
      <c r="N70">
        <v>140</v>
      </c>
      <c r="P70" t="s">
        <v>77</v>
      </c>
      <c r="Q70" s="101">
        <f>(97.65+$Q$43*3*300)*1</f>
        <v>139.95</v>
      </c>
      <c r="R70">
        <v>140</v>
      </c>
    </row>
    <row r="71" spans="12:18">
      <c r="L71" t="s">
        <v>78</v>
      </c>
      <c r="M71" s="101">
        <f>(127.65+$Q$43*4*300)*1</f>
        <v>184.05</v>
      </c>
      <c r="N71">
        <v>184</v>
      </c>
      <c r="P71" t="s">
        <v>78</v>
      </c>
      <c r="Q71" s="101">
        <f>(127.65+$Q$43*4*300)*1</f>
        <v>184.05</v>
      </c>
      <c r="R71">
        <v>185</v>
      </c>
    </row>
    <row r="72" spans="1:18">
      <c r="A72" t="s">
        <v>126</v>
      </c>
      <c r="L72" t="s">
        <v>79</v>
      </c>
      <c r="M72" s="101">
        <f>(157.65+$Q$43*5*300)*1</f>
        <v>228.15</v>
      </c>
      <c r="N72">
        <v>229</v>
      </c>
      <c r="P72" t="s">
        <v>79</v>
      </c>
      <c r="Q72" s="101">
        <f>(157.65+$Q$43*5*300)*1</f>
        <v>228.15</v>
      </c>
      <c r="R72">
        <v>229</v>
      </c>
    </row>
    <row r="73" spans="1:18">
      <c r="A73" t="s">
        <v>127</v>
      </c>
      <c r="L73" t="s">
        <v>82</v>
      </c>
      <c r="M73" s="101">
        <f>(120+94+$Q$42*300)*1</f>
        <v>343</v>
      </c>
      <c r="N73">
        <v>343</v>
      </c>
      <c r="P73" t="s">
        <v>82</v>
      </c>
      <c r="Q73" s="101">
        <f>(120+94+$Q$42*300)*1</f>
        <v>343</v>
      </c>
      <c r="R73">
        <v>343</v>
      </c>
    </row>
    <row r="74" spans="1:18">
      <c r="A74" t="s">
        <v>68</v>
      </c>
      <c r="L74" t="s">
        <v>120</v>
      </c>
      <c r="M74" s="101">
        <f>(120*3+94+$Q$42*300)*1</f>
        <v>583</v>
      </c>
      <c r="N74">
        <v>583</v>
      </c>
      <c r="P74" t="s">
        <v>120</v>
      </c>
      <c r="Q74" s="101">
        <f>(120*3+94+$Q$42*300)*1</f>
        <v>583</v>
      </c>
      <c r="R74">
        <v>582</v>
      </c>
    </row>
    <row r="75" spans="1:18">
      <c r="A75" t="s">
        <v>128</v>
      </c>
      <c r="L75" t="s">
        <v>80</v>
      </c>
      <c r="M75" s="101">
        <f>(120*5+94+$Q$42*300)*1</f>
        <v>823</v>
      </c>
      <c r="N75">
        <v>823</v>
      </c>
      <c r="P75" t="s">
        <v>80</v>
      </c>
      <c r="Q75" s="101">
        <f>(120*5+94+$Q$42*300)*1</f>
        <v>823</v>
      </c>
      <c r="R75">
        <v>823</v>
      </c>
    </row>
    <row r="76" spans="1:18">
      <c r="A76" t="s">
        <v>129</v>
      </c>
      <c r="L76" t="s">
        <v>81</v>
      </c>
      <c r="M76" s="15">
        <f>(L67*10+L67/3.5*8.75+L67/3.5*0.04*300)*1</f>
        <v>50.9714285714286</v>
      </c>
      <c r="N76">
        <v>51</v>
      </c>
      <c r="P76" t="s">
        <v>81</v>
      </c>
      <c r="Q76" s="15">
        <f>(P67*10+P67/3.5*8.75+P67/3.5*0.04*300)*1</f>
        <v>57.3428571428571</v>
      </c>
      <c r="R76">
        <v>57</v>
      </c>
    </row>
    <row r="78" spans="1:2">
      <c r="A78" t="s">
        <v>113</v>
      </c>
      <c r="B78" t="s">
        <v>98</v>
      </c>
    </row>
    <row r="79" spans="1:2">
      <c r="A79" t="s">
        <v>122</v>
      </c>
      <c r="B79">
        <v>300</v>
      </c>
    </row>
    <row r="80" spans="1:17">
      <c r="A80" t="s">
        <v>0</v>
      </c>
      <c r="B80">
        <v>1.6</v>
      </c>
      <c r="F80" t="s">
        <v>0</v>
      </c>
      <c r="G80">
        <v>1.9</v>
      </c>
      <c r="K80" t="s">
        <v>0</v>
      </c>
      <c r="L80">
        <v>2.3</v>
      </c>
      <c r="P80" t="s">
        <v>0</v>
      </c>
      <c r="Q80">
        <v>2.3</v>
      </c>
    </row>
    <row r="81" customFormat="1" spans="2:13">
      <c r="B81" t="s">
        <v>130</v>
      </c>
      <c r="C81" t="s">
        <v>131</v>
      </c>
      <c r="G81" t="s">
        <v>130</v>
      </c>
      <c r="H81" t="s">
        <v>131</v>
      </c>
      <c r="L81" t="s">
        <v>130</v>
      </c>
      <c r="M81" t="s">
        <v>131</v>
      </c>
    </row>
    <row r="82" s="92" customFormat="1" spans="1:17">
      <c r="A82" s="92" t="s">
        <v>98</v>
      </c>
      <c r="B82" s="92">
        <f>137.5/1.05</f>
        <v>130.952380952381</v>
      </c>
      <c r="C82" s="92">
        <f>101/1.05</f>
        <v>96.1904761904762</v>
      </c>
      <c r="D82" s="92">
        <f>B82-C82</f>
        <v>34.7619047619047</v>
      </c>
      <c r="F82" s="92" t="s">
        <v>98</v>
      </c>
      <c r="G82" s="92">
        <f>158.5/1.05</f>
        <v>150.952380952381</v>
      </c>
      <c r="H82" s="92">
        <f>115.5/1.05</f>
        <v>110</v>
      </c>
      <c r="I82" s="92">
        <f>G82-H82</f>
        <v>40.9523809523809</v>
      </c>
      <c r="K82" s="92" t="s">
        <v>98</v>
      </c>
      <c r="L82" s="92">
        <f>192.5/1.05</f>
        <v>183.333333333333</v>
      </c>
      <c r="M82" s="92">
        <f>140.5/1.05</f>
        <v>133.809523809524</v>
      </c>
      <c r="N82" s="92">
        <f>L82-M82</f>
        <v>49.5238095238095</v>
      </c>
      <c r="P82" s="92" t="s">
        <v>98</v>
      </c>
      <c r="Q82" s="92">
        <f>(26.7*Q80+Q80/3.5*0.367*B79)*1.05</f>
        <v>140.4495</v>
      </c>
    </row>
    <row r="83" s="92" customFormat="1" spans="1:16">
      <c r="A83" s="92" t="s">
        <v>101</v>
      </c>
      <c r="B83" s="92">
        <f>635/1.05</f>
        <v>604.761904761905</v>
      </c>
      <c r="C83" s="92">
        <f>475/1.05</f>
        <v>452.380952380952</v>
      </c>
      <c r="D83" s="92">
        <f>B83-C83</f>
        <v>152.380952380952</v>
      </c>
      <c r="F83" s="92" t="s">
        <v>101</v>
      </c>
      <c r="G83" s="92">
        <f>636.75/1.05</f>
        <v>606.428571428571</v>
      </c>
      <c r="H83" s="92">
        <f>476.25/1.05</f>
        <v>453.571428571429</v>
      </c>
      <c r="I83" s="92">
        <f>G83-H83</f>
        <v>152.857142857143</v>
      </c>
      <c r="K83" s="92" t="s">
        <v>101</v>
      </c>
      <c r="L83" s="92">
        <f>638.375/1.05</f>
        <v>607.97619047619</v>
      </c>
      <c r="M83" s="92">
        <f>478.63/1.05</f>
        <v>455.838095238095</v>
      </c>
      <c r="N83" s="92">
        <f>L83-M83</f>
        <v>152.138095238095</v>
      </c>
      <c r="P83" s="92" t="s">
        <v>101</v>
      </c>
    </row>
    <row r="84" s="92" customFormat="1" spans="3:13">
      <c r="C84" s="92">
        <f>(C83-235.5)/$B$79</f>
        <v>0.722936507936508</v>
      </c>
      <c r="H84" s="92">
        <f>(H83-235.5)/$B$79</f>
        <v>0.726904761904762</v>
      </c>
      <c r="M84" s="92">
        <f>(M83-235.5)/$B$79</f>
        <v>0.734460317460317</v>
      </c>
    </row>
    <row r="85" spans="1:1">
      <c r="A85" t="s">
        <v>121</v>
      </c>
    </row>
    <row r="86" spans="1:14">
      <c r="A86" t="s">
        <v>122</v>
      </c>
      <c r="B86">
        <v>400</v>
      </c>
      <c r="G86" t="s">
        <v>122</v>
      </c>
      <c r="H86">
        <v>344</v>
      </c>
      <c r="M86" t="s">
        <v>122</v>
      </c>
      <c r="N86">
        <v>500</v>
      </c>
    </row>
    <row r="87" spans="1:14">
      <c r="A87" t="s">
        <v>0</v>
      </c>
      <c r="B87">
        <v>1.8</v>
      </c>
      <c r="G87" t="s">
        <v>0</v>
      </c>
      <c r="H87">
        <v>1.8</v>
      </c>
      <c r="M87" t="s">
        <v>0</v>
      </c>
      <c r="N87">
        <v>1.8</v>
      </c>
    </row>
    <row r="88" spans="2:17">
      <c r="B88" s="12" t="s">
        <v>132</v>
      </c>
      <c r="C88" s="12"/>
      <c r="D88" s="12" t="s">
        <v>133</v>
      </c>
      <c r="E88" s="12"/>
      <c r="H88" s="12" t="s">
        <v>132</v>
      </c>
      <c r="I88" s="12"/>
      <c r="J88" s="12" t="s">
        <v>133</v>
      </c>
      <c r="K88" s="12"/>
      <c r="N88" s="12" t="s">
        <v>132</v>
      </c>
      <c r="O88" s="12"/>
      <c r="P88" s="12" t="s">
        <v>133</v>
      </c>
      <c r="Q88" s="12"/>
    </row>
    <row r="89" spans="2:17">
      <c r="B89" t="s">
        <v>130</v>
      </c>
      <c r="C89" t="s">
        <v>131</v>
      </c>
      <c r="D89" t="s">
        <v>130</v>
      </c>
      <c r="E89" t="s">
        <v>131</v>
      </c>
      <c r="H89" t="s">
        <v>130</v>
      </c>
      <c r="I89" t="s">
        <v>131</v>
      </c>
      <c r="J89" t="s">
        <v>130</v>
      </c>
      <c r="K89" t="s">
        <v>131</v>
      </c>
      <c r="N89" t="s">
        <v>130</v>
      </c>
      <c r="O89" t="s">
        <v>131</v>
      </c>
      <c r="P89" t="s">
        <v>130</v>
      </c>
      <c r="Q89" t="s">
        <v>131</v>
      </c>
    </row>
    <row r="90" spans="1:17">
      <c r="A90" s="92" t="s">
        <v>98</v>
      </c>
      <c r="B90" s="92">
        <f>21.25*B87*1.05+C90</f>
        <v>172.4625</v>
      </c>
      <c r="C90" s="92">
        <f>(26*B87+0.11*B87*B86)*1.05</f>
        <v>132.3</v>
      </c>
      <c r="D90" t="s">
        <v>134</v>
      </c>
      <c r="E90">
        <v>132</v>
      </c>
      <c r="G90" s="92" t="s">
        <v>98</v>
      </c>
      <c r="H90" s="92">
        <f>21.25*H87*1.05+I90</f>
        <v>160.2855</v>
      </c>
      <c r="I90" s="92">
        <f>(26.7*H87+H87/3.5*0.375*H86)*1.05</f>
        <v>120.123</v>
      </c>
      <c r="J90" s="23" t="s">
        <v>135</v>
      </c>
      <c r="K90" s="23" t="s">
        <v>136</v>
      </c>
      <c r="M90" s="92" t="s">
        <v>98</v>
      </c>
      <c r="N90" s="92">
        <f>21.25*N87*1.05+O90</f>
        <v>191.8755</v>
      </c>
      <c r="O90" s="92">
        <f>(26.7*N87+N87/3.5*0.375*N86)*1.05</f>
        <v>151.713</v>
      </c>
      <c r="P90" s="23">
        <v>193</v>
      </c>
      <c r="Q90" s="23">
        <v>152</v>
      </c>
    </row>
    <row r="91" spans="1:17">
      <c r="A91" s="92" t="s">
        <v>101</v>
      </c>
      <c r="B91" s="92">
        <f>153*1.05+C91</f>
        <v>714.525</v>
      </c>
      <c r="C91" s="92">
        <f>(235.5+0.73*B86)*1.05</f>
        <v>553.875</v>
      </c>
      <c r="D91">
        <v>714</v>
      </c>
      <c r="E91">
        <v>557</v>
      </c>
      <c r="G91" s="92" t="s">
        <v>101</v>
      </c>
      <c r="H91" s="92">
        <f>153*1.05+I91</f>
        <v>671.601</v>
      </c>
      <c r="I91" s="92">
        <f>(235.5+0.73*H86)*1.05</f>
        <v>510.951</v>
      </c>
      <c r="J91" s="23">
        <v>675</v>
      </c>
      <c r="K91" s="23">
        <v>509.23</v>
      </c>
      <c r="M91" s="92" t="s">
        <v>101</v>
      </c>
      <c r="N91" s="92">
        <f>153*1.05+O91</f>
        <v>791.175</v>
      </c>
      <c r="O91" s="92">
        <f>(235.5+0.73*N86)*1.05</f>
        <v>630.525</v>
      </c>
      <c r="P91" s="23">
        <v>792.2</v>
      </c>
      <c r="Q91" s="23">
        <v>626.67</v>
      </c>
    </row>
    <row r="93" spans="11:12">
      <c r="K93">
        <f>(123.5)/1.05-48</f>
        <v>69.6190476190476</v>
      </c>
      <c r="L93">
        <f>K93/H86</f>
        <v>0.202380952380952</v>
      </c>
    </row>
  </sheetData>
  <mergeCells count="16">
    <mergeCell ref="H1:I1"/>
    <mergeCell ref="K1:L1"/>
    <mergeCell ref="H2:I2"/>
    <mergeCell ref="K2:L2"/>
    <mergeCell ref="L41:M41"/>
    <mergeCell ref="O41:P41"/>
    <mergeCell ref="L42:M42"/>
    <mergeCell ref="O42:P42"/>
    <mergeCell ref="L43:M43"/>
    <mergeCell ref="O43:P43"/>
    <mergeCell ref="B88:C88"/>
    <mergeCell ref="D88:E88"/>
    <mergeCell ref="H88:I88"/>
    <mergeCell ref="J88:K88"/>
    <mergeCell ref="N88:O88"/>
    <mergeCell ref="P88:Q88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59"/>
  <sheetViews>
    <sheetView tabSelected="1" workbookViewId="0">
      <selection activeCell="E11" sqref="E11"/>
    </sheetView>
  </sheetViews>
  <sheetFormatPr defaultColWidth="8.88888888888889" defaultRowHeight="14.4"/>
  <cols>
    <col min="1" max="2" width="6.77777777777778" customWidth="1"/>
    <col min="3" max="4" width="12.7777777777778" customWidth="1"/>
    <col min="5" max="6" width="6.77777777777778" customWidth="1"/>
    <col min="7" max="8" width="12.7777777777778" customWidth="1"/>
    <col min="9" max="10" width="6.77777777777778" customWidth="1"/>
    <col min="11" max="12" width="12.7777777777778" customWidth="1"/>
    <col min="13" max="14" width="6.77777777777778" customWidth="1"/>
    <col min="15" max="16" width="12.7777777777778" customWidth="1"/>
    <col min="17" max="18" width="6.77777777777778" customWidth="1"/>
    <col min="19" max="19" width="12.7777777777778" customWidth="1"/>
    <col min="20" max="21" width="10.7777777777778" customWidth="1"/>
    <col min="27" max="27" width="10.6666666666667"/>
    <col min="29" max="29" width="9.66666666666667"/>
    <col min="30" max="33" width="12.8888888888889"/>
  </cols>
  <sheetData>
    <row r="1" customHeight="1" spans="1:33">
      <c r="A1" s="26" t="s">
        <v>0</v>
      </c>
      <c r="B1" s="27"/>
      <c r="C1" s="28">
        <v>1.8</v>
      </c>
      <c r="D1" s="27" t="s">
        <v>1</v>
      </c>
      <c r="E1" s="29">
        <v>0</v>
      </c>
      <c r="F1" s="30"/>
      <c r="G1" s="27" t="s">
        <v>2</v>
      </c>
      <c r="H1" s="31" t="s">
        <v>3</v>
      </c>
      <c r="I1" s="62" t="s">
        <v>4</v>
      </c>
      <c r="J1" s="27"/>
      <c r="K1" s="63" t="s">
        <v>5</v>
      </c>
      <c r="L1" s="64" t="s">
        <v>6</v>
      </c>
      <c r="M1" s="63" t="s">
        <v>5</v>
      </c>
      <c r="N1" s="65"/>
      <c r="O1" s="66" t="s">
        <v>7</v>
      </c>
      <c r="P1" s="67" t="s">
        <v>5</v>
      </c>
      <c r="Q1" s="84" t="s">
        <v>8</v>
      </c>
      <c r="R1" s="85"/>
      <c r="S1" s="86" t="str">
        <f>IF($B$31&gt;0,"第"&amp;($B$31)&amp;"次攻击"&amp;"("&amp;($B$31)*$C$1&amp;"s)","超过100次攻击")</f>
        <v>第12次攻击(21.6s)</v>
      </c>
      <c r="T1" s="87" t="str">
        <f>IF(B31=0,IF(P30-H30&gt;O30-G30,"可能存在复仇圣印临界值","可能不存在复仇圣印临界值"),"")</f>
        <v/>
      </c>
      <c r="U1" s="87"/>
      <c r="Y1" s="7" t="s">
        <v>9</v>
      </c>
      <c r="Z1" s="7"/>
      <c r="AA1" s="90">
        <f>(25.75+41.1*0.03)*$C$1</f>
        <v>48.5694</v>
      </c>
      <c r="AB1" s="7" t="s">
        <v>10</v>
      </c>
      <c r="AC1" s="7"/>
      <c r="AD1" s="3">
        <f>0.092*$C$1</f>
        <v>0.1656</v>
      </c>
      <c r="AE1" s="4" t="s">
        <v>11</v>
      </c>
      <c r="AF1" s="4"/>
      <c r="AG1" s="97">
        <f>($E$2/3.9+IF($H$2="是",5,0)+IF($K$2="是",5,0))*0.25</f>
        <v>1.25</v>
      </c>
    </row>
    <row r="2" spans="1:33">
      <c r="A2" s="32" t="s">
        <v>12</v>
      </c>
      <c r="B2" s="33"/>
      <c r="C2" s="34">
        <v>344</v>
      </c>
      <c r="D2" s="33" t="s">
        <v>13</v>
      </c>
      <c r="E2" s="35">
        <v>0</v>
      </c>
      <c r="F2" s="36"/>
      <c r="G2" s="33" t="s">
        <v>14</v>
      </c>
      <c r="H2" s="37" t="s">
        <v>3</v>
      </c>
      <c r="I2" s="68" t="s">
        <v>15</v>
      </c>
      <c r="J2" s="69"/>
      <c r="K2" s="70">
        <v>0</v>
      </c>
      <c r="L2" s="33" t="s">
        <v>16</v>
      </c>
      <c r="M2" s="71" t="s">
        <v>5</v>
      </c>
      <c r="N2" s="72"/>
      <c r="O2" s="73" t="s">
        <v>17</v>
      </c>
      <c r="P2" s="74" t="s">
        <v>3</v>
      </c>
      <c r="Q2" s="84"/>
      <c r="R2" s="85"/>
      <c r="S2" s="88"/>
      <c r="T2" s="87"/>
      <c r="U2" s="87"/>
      <c r="Y2" s="7" t="s">
        <v>18</v>
      </c>
      <c r="Z2" s="7"/>
      <c r="AA2" s="5">
        <v>235.5</v>
      </c>
      <c r="AB2" s="7" t="s">
        <v>19</v>
      </c>
      <c r="AC2" s="7"/>
      <c r="AD2" s="8">
        <v>0.73</v>
      </c>
      <c r="AE2" s="4" t="s">
        <v>20</v>
      </c>
      <c r="AF2" s="4"/>
      <c r="AG2" s="97">
        <f>($E$2/3.9+IF($H$2="是",5,0)+IF($K$2="是",5,0))*0.25</f>
        <v>1.25</v>
      </c>
    </row>
    <row r="3" ht="15.15" spans="1:33">
      <c r="A3" s="38" t="s">
        <v>21</v>
      </c>
      <c r="B3" s="39"/>
      <c r="C3" s="40">
        <v>70</v>
      </c>
      <c r="D3" s="39" t="s">
        <v>22</v>
      </c>
      <c r="E3" s="41" t="s">
        <v>3</v>
      </c>
      <c r="F3" s="42"/>
      <c r="G3" s="43" t="s">
        <v>23</v>
      </c>
      <c r="H3" s="42" t="s">
        <v>3</v>
      </c>
      <c r="I3" s="75" t="s">
        <v>24</v>
      </c>
      <c r="J3" s="39"/>
      <c r="K3" s="76">
        <v>5</v>
      </c>
      <c r="L3" s="39" t="s">
        <v>25</v>
      </c>
      <c r="M3" s="76" t="s">
        <v>5</v>
      </c>
      <c r="N3" s="77"/>
      <c r="O3" s="78" t="s">
        <v>65</v>
      </c>
      <c r="P3" s="79" t="s">
        <v>3</v>
      </c>
      <c r="Q3" s="84"/>
      <c r="R3" s="85"/>
      <c r="S3" s="88"/>
      <c r="T3" s="87"/>
      <c r="U3" s="87"/>
      <c r="Y3" s="7" t="s">
        <v>26</v>
      </c>
      <c r="Z3" s="7"/>
      <c r="AA3" s="5">
        <f>10*$C$1</f>
        <v>18</v>
      </c>
      <c r="AB3" s="7" t="s">
        <v>27</v>
      </c>
      <c r="AC3" s="7"/>
      <c r="AD3" s="8">
        <f>$C$1/3.5*0.04+(0.01*$C$1)*0</f>
        <v>0.0205714285714286</v>
      </c>
      <c r="AE3" s="4" t="s">
        <v>28</v>
      </c>
      <c r="AF3" s="4"/>
      <c r="AG3" s="97">
        <f>$E$1/15.8+IF($H$1="是",3,0)+IF($K$3="是",1,0)</f>
        <v>3</v>
      </c>
    </row>
    <row r="4" ht="15.15" spans="1:33">
      <c r="A4" s="44" t="s">
        <v>29</v>
      </c>
      <c r="B4" s="45" t="s">
        <v>30</v>
      </c>
      <c r="C4" s="45" t="s">
        <v>31</v>
      </c>
      <c r="D4" s="46" t="s">
        <v>32</v>
      </c>
      <c r="E4" s="47" t="s">
        <v>29</v>
      </c>
      <c r="F4" s="45" t="s">
        <v>30</v>
      </c>
      <c r="G4" s="45" t="s">
        <v>31</v>
      </c>
      <c r="H4" s="46" t="s">
        <v>32</v>
      </c>
      <c r="I4" s="47" t="s">
        <v>29</v>
      </c>
      <c r="J4" s="45" t="s">
        <v>30</v>
      </c>
      <c r="K4" s="45" t="s">
        <v>31</v>
      </c>
      <c r="L4" s="46" t="s">
        <v>32</v>
      </c>
      <c r="M4" s="47" t="s">
        <v>29</v>
      </c>
      <c r="N4" s="45" t="s">
        <v>30</v>
      </c>
      <c r="O4" s="45" t="s">
        <v>31</v>
      </c>
      <c r="P4" s="80" t="s">
        <v>32</v>
      </c>
      <c r="Y4" s="7" t="s">
        <v>33</v>
      </c>
      <c r="Z4" s="7"/>
      <c r="AA4" s="5">
        <f>120</f>
        <v>120</v>
      </c>
      <c r="AB4" s="7" t="s">
        <v>34</v>
      </c>
      <c r="AC4" s="7"/>
      <c r="AD4" s="8">
        <f>0.43</f>
        <v>0.43</v>
      </c>
      <c r="AE4" s="4" t="s">
        <v>35</v>
      </c>
      <c r="AF4" s="4"/>
      <c r="AG4" s="98">
        <f>IF(P2="是",1,"unknow")</f>
        <v>1</v>
      </c>
    </row>
    <row r="5" spans="1:33">
      <c r="A5" s="48"/>
      <c r="B5" s="49"/>
      <c r="C5" s="49"/>
      <c r="D5" s="50"/>
      <c r="E5" s="51"/>
      <c r="F5" s="49"/>
      <c r="G5" s="49"/>
      <c r="H5" s="50"/>
      <c r="I5" s="51"/>
      <c r="J5" s="49"/>
      <c r="K5" s="49"/>
      <c r="L5" s="50"/>
      <c r="M5" s="51"/>
      <c r="N5" s="49"/>
      <c r="O5" s="49"/>
      <c r="P5" s="81"/>
      <c r="R5" s="14"/>
      <c r="S5" s="14"/>
      <c r="T5" s="14"/>
      <c r="U5" s="14"/>
      <c r="V5" s="14"/>
      <c r="W5" s="14"/>
      <c r="Y5" s="7" t="s">
        <v>36</v>
      </c>
      <c r="Z5" s="7"/>
      <c r="AA5" s="5">
        <f>150/5</f>
        <v>30</v>
      </c>
      <c r="AB5" s="7" t="s">
        <v>37</v>
      </c>
      <c r="AC5" s="7"/>
      <c r="AD5" s="8">
        <f>0.034+(0.18/5*0)</f>
        <v>0.034</v>
      </c>
      <c r="AE5" s="4" t="s">
        <v>38</v>
      </c>
      <c r="AF5" s="4"/>
      <c r="AG5" s="91">
        <f>$C$2+IF($M$1="是",80,0)+IF($M$2="是",42,0)+IF($M$3="是",101,0)</f>
        <v>344</v>
      </c>
    </row>
    <row r="6" spans="1:33">
      <c r="A6" s="52">
        <f t="shared" ref="A6:A30" si="0">(ROW(A6)-5)+(QUOTIENT(COLUMN(A6),3)*25)</f>
        <v>1</v>
      </c>
      <c r="B6" s="53">
        <f>$C$1*((ROW(B6)-5)+(QUOTIENT(COLUMN(B6),4)*25))</f>
        <v>1.8</v>
      </c>
      <c r="C6" s="54">
        <f>ROUND((2*AA7*AA8)*IF($K$1="是",IF(MOD(B6,360)&lt;=20,1.3,1),1)*(1+$K$3/100),1)</f>
        <v>243.8</v>
      </c>
      <c r="D6" s="55">
        <f>(ROUND((QUOTIENT(B6,3)*(AA12*ROUND(2*AA6,0)+AA13))*IF($K$1="是",IF(MOD(B6,360)&lt;=20,1.3,1),1)*(1+$K$3/100),1))</f>
        <v>0</v>
      </c>
      <c r="E6" s="56">
        <f t="shared" ref="E6:E30" si="1">(ROW(E6)-5)+(QUOTIENT(COLUMN(E6),3)*25)</f>
        <v>26</v>
      </c>
      <c r="F6" s="53">
        <f>$C$1*((ROW(F6)-5)+(QUOTIENT(COLUMN(F6),4)*25))</f>
        <v>46.8</v>
      </c>
      <c r="G6" s="54">
        <f>C30+((ROUND(1*$AA$7*$AA$8,1)+(QUOTIENT(F6,$AD$6)-QUOTIENT(B30,$AD$6))*$AA$9)*IF($K$1="是",IF(MOD(F6,360)&lt;=20,1.3,1),1)*(1+$K$3/100))</f>
        <v>5335.145</v>
      </c>
      <c r="H6" s="55">
        <f>D30+(((QUOTIENT(F6,3)-QUOTIENT(B30,3))*(MIN(ROUND(E6*$AA$6,0),5)*$AA$12+$AA$13)+(QUOTIENT(F6,$AD$6)-QUOTIENT(B30,$AD$6))*(MIN(ROUND((E6+1)*$AA$6,0),5)*$AA$4+$AA$11)+IF(ROUND((E6+1)*$AA$6,0)&gt;5,$AA$6*$AA$10,0))*IF($K$1="是",IF(MOD(F6,360)&lt;=20,1.3,1),1)*(1+$K$3/100))</f>
        <v>6463.569</v>
      </c>
      <c r="I6" s="56">
        <v>51</v>
      </c>
      <c r="J6" s="53">
        <f>$C$1*((ROW(J6)-5)+(QUOTIENT(COLUMN(J6),4)*25))</f>
        <v>91.8</v>
      </c>
      <c r="K6" s="54">
        <f>G30+((ROUND(1*$AA$7*$AA$8,1)+(QUOTIENT(J6,$AD$6)-QUOTIENT(F30,$AD$6))*$AA$9)*IF($K$1="是",IF(MOD(J6,360)&lt;=20,1.3,1),1)*(1+$K$3/100))</f>
        <v>10937.42</v>
      </c>
      <c r="L6" s="55">
        <f>H30+(((QUOTIENT(J6,3)-QUOTIENT(F30,3))*(MIN(ROUND(I6*$AA$6,0),5)*$AA$12+$AA$13)+(QUOTIENT(J6,$AD$6)-QUOTIENT(F30,$AD$6))*(MIN(ROUND((I6+1)*$AA$6,0),5)*$AA$4+$AA$11)+IF(ROUND((I6+1)*$AA$6,0)&gt;5,$AA$6*$AA$10,0))*IF($K$1="是",IF(MOD(J6,360)&lt;=20,1.3,1),1)*(1+$K$3/100))</f>
        <v>14438.844</v>
      </c>
      <c r="M6" s="56">
        <v>76</v>
      </c>
      <c r="N6" s="53">
        <f>$C$1*((ROW(N6)-5)+(QUOTIENT(COLUMN(N6),4)*25))</f>
        <v>136.8</v>
      </c>
      <c r="O6" s="54">
        <f>K30+((ROUND(1*$AA$7*$AA$8,1)+(QUOTIENT(N6,$AD$6)-QUOTIENT(J30,$AD$6))*$AA$9)*IF($K$1="是",IF(MOD(N6,360)&lt;=20,1.3,1),1)*(1+$K$3/100))</f>
        <v>16028.765</v>
      </c>
      <c r="P6" s="82">
        <f>L30+(((QUOTIENT(N6,3)-QUOTIENT(J30,3))*(MIN(ROUND(M6*$AA$6,0),5)*$AA$12+$AA$13)+(QUOTIENT(N6,$AD$6)-QUOTIENT(J30,$AD$6))*(MIN(ROUND((M6+1)*$AA$6,0),5)*$AA$4+$AA$11)+IF(ROUND((M6+1)*$AA$6,0)&gt;5,$AA$6*$AA$10,0))*IF($K$1="是",IF(MOD(N6,360)&lt;=20,1.3,1),1)*(1+$K$3/100))</f>
        <v>21621.054</v>
      </c>
      <c r="R6" s="89"/>
      <c r="S6" s="89"/>
      <c r="T6" s="89"/>
      <c r="U6" s="89"/>
      <c r="V6" s="89"/>
      <c r="W6" s="89"/>
      <c r="Y6" s="4" t="s">
        <v>39</v>
      </c>
      <c r="Z6" s="4"/>
      <c r="AA6" s="91">
        <f>20/60*$C$1*AG4</f>
        <v>0.6</v>
      </c>
      <c r="AB6" s="4" t="s">
        <v>40</v>
      </c>
      <c r="AC6" s="4"/>
      <c r="AD6" s="91">
        <f>10-$K$2</f>
        <v>10</v>
      </c>
      <c r="AE6" s="4" t="s">
        <v>137</v>
      </c>
      <c r="AF6" s="4"/>
      <c r="AG6" s="91">
        <f>IF($P$1="是",219,0)</f>
        <v>0</v>
      </c>
    </row>
    <row r="7" spans="1:33">
      <c r="A7" s="52">
        <f t="shared" si="0"/>
        <v>2</v>
      </c>
      <c r="B7" s="53">
        <f>$C$1*((ROW(B7)-5)+(QUOTIENT(COLUMN(B7),4)*25))</f>
        <v>3.6</v>
      </c>
      <c r="C7" s="54">
        <f>C6+((ROUND(1*$AA$7*$AA$8,1)+(QUOTIENT(B7,$AD$6)-QUOTIENT(B6,$AD$6))*$AA$9)*IF($K$1="是",IF(MOD(B7,360)&lt;=20,1.3,1),1)*(1+$K$3/100))</f>
        <v>365.705</v>
      </c>
      <c r="D7" s="55">
        <f>D6+(((QUOTIENT(B7,3)-QUOTIENT(B6,3))*(MIN(ROUND(A7*$AA$6,0),5)*$AA$12+$AA$13)+(QUOTIENT(B7,$AD$6)-QUOTIENT(B6,$AD$6))*(MIN(ROUND((A7+1)*$AA$6,0),5)*$AA$4+$AA$11)+IF(ROUND((A7+1)*$AA$6,0)&gt;5,$AA$6*$AA$10,0))*IF($K$1="是",IF(MOD(B7,360)&lt;=20,1.3,1),1)*(1+$K$3/100))</f>
        <v>48.195</v>
      </c>
      <c r="E7" s="56">
        <f t="shared" si="1"/>
        <v>27</v>
      </c>
      <c r="F7" s="53">
        <f>$C$1*((ROW(F7)-5)+(QUOTIENT(COLUMN(F7),4)*25))</f>
        <v>48.6</v>
      </c>
      <c r="G7" s="54">
        <f>G6+((ROUND(1*$AA$7*$AA$8,1)+(QUOTIENT(F7,$AD$6)-QUOTIENT(F6,$AD$6))*$AA$9)*IF($K$1="是",IF(MOD(F7,360)&lt;=20,1.3,1),1)*(1+$K$3/100))</f>
        <v>5457.05</v>
      </c>
      <c r="H7" s="55">
        <f>H6+(((QUOTIENT(F7,3)-QUOTIENT(F6,3))*(MIN(ROUND(E7*$AA$6,0),5)*$AA$12+$AA$13)+(QUOTIENT(F7,$AD$6)-QUOTIENT(F6,$AD$6))*(MIN(ROUND((E7+1)*$AA$6,0),5)*$AA$4+$AA$11)+IF(ROUND((E7+1)*$AA$6,0)&gt;5,$AA$6*$AA$10,0))*IF($K$1="是",IF(MOD(F7,360)&lt;=20,1.3,1),1)*(1+$K$3/100))</f>
        <v>6720.357</v>
      </c>
      <c r="I7" s="56">
        <v>52</v>
      </c>
      <c r="J7" s="53">
        <f>$C$1*((ROW(J7)-5)+(QUOTIENT(COLUMN(J7),4)*25))</f>
        <v>93.6</v>
      </c>
      <c r="K7" s="54">
        <f>K6+((ROUND(1*$AA$7*$AA$8,1)+(QUOTIENT(J7,$AD$6)-QUOTIENT(J6,$AD$6))*$AA$9)*IF($K$1="是",IF(MOD(J7,360)&lt;=20,1.3,1),1)*(1+$K$3/100))</f>
        <v>11059.325</v>
      </c>
      <c r="L7" s="55">
        <f>L6+(((QUOTIENT(J7,3)-QUOTIENT(J6,3))*(MIN(ROUND(I7*$AA$6,0),5)*$AA$12+$AA$13)+(QUOTIENT(J7,$AD$6)-QUOTIENT(J6,$AD$6))*(MIN(ROUND((I7+1)*$AA$6,0),5)*$AA$4+$AA$11)+IF(ROUND((I7+1)*$AA$6,0)&gt;5,$AA$6*$AA$10,0))*IF($K$1="是",IF(MOD(J7,360)&lt;=20,1.3,1),1)*(1+$K$3/100))</f>
        <v>14695.632</v>
      </c>
      <c r="M7" s="56">
        <v>77</v>
      </c>
      <c r="N7" s="53">
        <f>$C$1*((ROW(N7)-5)+(QUOTIENT(COLUMN(N7),4)*25))</f>
        <v>138.6</v>
      </c>
      <c r="O7" s="54">
        <f>O6+((ROUND(1*$AA$7*$AA$8,1)+(QUOTIENT(N7,$AD$6)-QUOTIENT(N6,$AD$6))*$AA$9)*IF($K$1="是",IF(MOD(N7,360)&lt;=20,1.3,1),1)*(1+$K$3/100))</f>
        <v>16150.67</v>
      </c>
      <c r="P7" s="82">
        <f>P6+(((QUOTIENT(N7,3)-QUOTIENT(N6,3))*(MIN(ROUND(M7*$AA$6,0),5)*$AA$12+$AA$13)+(QUOTIENT(N7,$AD$6)-QUOTIENT(N6,$AD$6))*(MIN(ROUND((M7+1)*$AA$6,0),5)*$AA$4+$AA$11)+IF(ROUND((M7+1)*$AA$6,0)&gt;5,$AA$6*$AA$10,0))*IF($K$1="是",IF(MOD(N7,360)&lt;=20,1.3,1),1)*(1+$K$3/100))</f>
        <v>21877.842</v>
      </c>
      <c r="R7" s="89" t="s">
        <v>138</v>
      </c>
      <c r="S7" s="89"/>
      <c r="T7" s="89"/>
      <c r="U7" s="89"/>
      <c r="V7" s="89"/>
      <c r="W7" s="89"/>
      <c r="Y7" s="4" t="s">
        <v>42</v>
      </c>
      <c r="Z7" s="4"/>
      <c r="AA7" s="91">
        <f>AG4</f>
        <v>1</v>
      </c>
      <c r="AB7" s="4" t="s">
        <v>43</v>
      </c>
      <c r="AC7" s="4"/>
      <c r="AD7" s="91"/>
      <c r="AE7" s="4" t="s">
        <v>41</v>
      </c>
      <c r="AF7" s="4"/>
      <c r="AG7" s="91"/>
    </row>
    <row r="8" spans="1:33">
      <c r="A8" s="52">
        <f t="shared" si="0"/>
        <v>3</v>
      </c>
      <c r="B8" s="53">
        <f>$C$1*((ROW(B8)-5)+(QUOTIENT(COLUMN(B8),4)*25))</f>
        <v>5.4</v>
      </c>
      <c r="C8" s="54">
        <f t="shared" ref="C8:C30" si="2">C7+((ROUND(1*$AA$7*$AA$8,1)+(QUOTIENT(B8,$AD$6)-QUOTIENT(B7,$AD$6))*$AA$9)*IF($K$1="是",IF(MOD(B8,360)&lt;=20,1.3,1),1)*(1+$K$3/100))</f>
        <v>487.61</v>
      </c>
      <c r="D8" s="55">
        <f t="shared" ref="D8:D30" si="3">D7+(((QUOTIENT(B8,3)-QUOTIENT(B7,3))*(MIN(ROUND(A8*$AA$6,0),5)*$AA$12+$AA$13)+(QUOTIENT(B8,$AD$6)-QUOTIENT(B7,$AD$6))*(MIN(ROUND((A8+1)*$AA$6,0),5)*$AA$4+$AA$11)+IF(ROUND((A8+1)*$AA$6,0)&gt;5,$AA$6*$AA$10,0))*IF($K$1="是",IF(MOD(B8,360)&lt;=20,1.3,1),1)*(1+$K$3/100))</f>
        <v>48.195</v>
      </c>
      <c r="E8" s="56">
        <f t="shared" si="1"/>
        <v>28</v>
      </c>
      <c r="F8" s="53">
        <f>$C$1*((ROW(F8)-5)+(QUOTIENT(COLUMN(F8),4)*25))</f>
        <v>50.4</v>
      </c>
      <c r="G8" s="54">
        <f>G7+((ROUND(1*$AA$7*$AA$8,1)+(QUOTIENT(F8,$AD$6)-QUOTIENT(F7,$AD$6))*$AA$9)*IF($K$1="是",IF(MOD(F8,360)&lt;=20,1.3,1),1)*(1+$K$3/100))</f>
        <v>6089.885</v>
      </c>
      <c r="H8" s="55">
        <f t="shared" ref="H8:H30" si="4">H7+(((QUOTIENT(F8,3)-QUOTIENT(F7,3))*(MIN(ROUND(E8*$AA$6,0),5)*$AA$12+$AA$13)+(QUOTIENT(F8,$AD$6)-QUOTIENT(F7,$AD$6))*(MIN(ROUND((E8+1)*$AA$6,0),5)*$AA$4+$AA$11)+IF(ROUND((E8+1)*$AA$6,0)&gt;5,$AA$6*$AA$10,0))*IF($K$1="是",IF(MOD(F8,360)&lt;=20,1.3,1),1)*(1+$K$3/100))</f>
        <v>7529.235</v>
      </c>
      <c r="I8" s="56">
        <v>53</v>
      </c>
      <c r="J8" s="53">
        <f>$C$1*((ROW(J8)-5)+(QUOTIENT(COLUMN(J8),4)*25))</f>
        <v>95.4</v>
      </c>
      <c r="K8" s="54">
        <f>K7+((ROUND(1*$AA$7*$AA$8,1)+(QUOTIENT(J8,$AD$6)-QUOTIENT(J7,$AD$6))*$AA$9)*IF($K$1="是",IF(MOD(J8,360)&lt;=20,1.3,1),1)*(1+$K$3/100))</f>
        <v>11181.23</v>
      </c>
      <c r="L8" s="55">
        <f>L7+(((QUOTIENT(J8,3)-QUOTIENT(J7,3))*(MIN(ROUND(I8*$AA$6,0),5)*$AA$12+$AA$13)+(QUOTIENT(J8,$AD$6)-QUOTIENT(J7,$AD$6))*(MIN(ROUND((I8+1)*$AA$6,0),5)*$AA$4+$AA$11)+IF(ROUND((I8+1)*$AA$6,0)&gt;5,$AA$6*$AA$10,0))*IF($K$1="是",IF(MOD(J8,360)&lt;=20,1.3,1),1)*(1+$K$3/100))</f>
        <v>14711.445</v>
      </c>
      <c r="M8" s="56">
        <v>78</v>
      </c>
      <c r="N8" s="53">
        <f>$C$1*((ROW(N8)-5)+(QUOTIENT(COLUMN(N8),4)*25))</f>
        <v>140.4</v>
      </c>
      <c r="O8" s="54">
        <f>O7+((ROUND(1*$AA$7*$AA$8,1)+(QUOTIENT(N8,$AD$6)-QUOTIENT(N7,$AD$6))*$AA$9)*IF($K$1="是",IF(MOD(N8,360)&lt;=20,1.3,1),1)*(1+$K$3/100))</f>
        <v>16783.505</v>
      </c>
      <c r="P8" s="82">
        <f>P7+(((QUOTIENT(N8,3)-QUOTIENT(N7,3))*(MIN(ROUND(M8*$AA$6,0),5)*$AA$12+$AA$13)+(QUOTIENT(N8,$AD$6)-QUOTIENT(N7,$AD$6))*(MIN(ROUND((M8+1)*$AA$6,0),5)*$AA$4+$AA$11)+IF(ROUND((M8+1)*$AA$6,0)&gt;5,$AA$6*$AA$10,0))*IF($K$1="是",IF(MOD(N8,360)&lt;=20,1.3,1),1)*(1+$K$3/100))</f>
        <v>22686.72</v>
      </c>
      <c r="R8" s="89" t="s">
        <v>139</v>
      </c>
      <c r="S8" s="89"/>
      <c r="T8" s="89"/>
      <c r="U8" s="89"/>
      <c r="V8" s="89"/>
      <c r="W8" s="89"/>
      <c r="Y8" s="12" t="s">
        <v>45</v>
      </c>
      <c r="Z8" s="12"/>
      <c r="AA8">
        <f>ROUND((AA1+(AG5+AG6)*AD1)*IF($P$3="是",1.1,1),1)</f>
        <v>116.1</v>
      </c>
      <c r="AE8" s="4" t="s">
        <v>44</v>
      </c>
      <c r="AF8" s="4"/>
      <c r="AG8" s="91"/>
    </row>
    <row r="9" spans="1:27">
      <c r="A9" s="52">
        <f t="shared" si="0"/>
        <v>4</v>
      </c>
      <c r="B9" s="53">
        <f>$C$1*((ROW(B9)-5)+(QUOTIENT(COLUMN(B9),4)*25))</f>
        <v>7.2</v>
      </c>
      <c r="C9" s="54">
        <f t="shared" si="2"/>
        <v>609.515</v>
      </c>
      <c r="D9" s="55">
        <f t="shared" si="3"/>
        <v>144.585</v>
      </c>
      <c r="E9" s="56">
        <f t="shared" si="1"/>
        <v>29</v>
      </c>
      <c r="F9" s="53">
        <f>$C$1*((ROW(F9)-5)+(QUOTIENT(COLUMN(F9),4)*25))</f>
        <v>52.2</v>
      </c>
      <c r="G9" s="54">
        <f>G8+((ROUND(1*$AA$7*$AA$8,1)+(QUOTIENT(F9,$AD$6)-QUOTIENT(F8,$AD$6))*$AA$9)*IF($K$1="是",IF(MOD(F9,360)&lt;=20,1.3,1),1)*(1+$K$3/100))</f>
        <v>6211.79</v>
      </c>
      <c r="H9" s="55">
        <f t="shared" si="4"/>
        <v>7786.023</v>
      </c>
      <c r="I9" s="56">
        <v>54</v>
      </c>
      <c r="J9" s="53">
        <f>$C$1*((ROW(J9)-5)+(QUOTIENT(COLUMN(J9),4)*25))</f>
        <v>97.2</v>
      </c>
      <c r="K9" s="54">
        <f>K8+((ROUND(1*$AA$7*$AA$8,1)+(QUOTIENT(J9,$AD$6)-QUOTIENT(J8,$AD$6))*$AA$9)*IF($K$1="是",IF(MOD(J9,360)&lt;=20,1.3,1),1)*(1+$K$3/100))</f>
        <v>11303.135</v>
      </c>
      <c r="L9" s="55">
        <f>L8+(((QUOTIENT(J9,3)-QUOTIENT(J8,3))*(MIN(ROUND(I9*$AA$6,0),5)*$AA$12+$AA$13)+(QUOTIENT(J9,$AD$6)-QUOTIENT(J8,$AD$6))*(MIN(ROUND((I9+1)*$AA$6,0),5)*$AA$4+$AA$11)+IF(ROUND((I9+1)*$AA$6,0)&gt;5,$AA$6*$AA$10,0))*IF($K$1="是",IF(MOD(J9,360)&lt;=20,1.3,1),1)*(1+$K$3/100))</f>
        <v>14968.233</v>
      </c>
      <c r="M9" s="56">
        <v>79</v>
      </c>
      <c r="N9" s="53">
        <f>$C$1*((ROW(N9)-5)+(QUOTIENT(COLUMN(N9),4)*25))</f>
        <v>142.2</v>
      </c>
      <c r="O9" s="54">
        <f>O8+((ROUND(1*$AA$7*$AA$8,1)+(QUOTIENT(N9,$AD$6)-QUOTIENT(N8,$AD$6))*$AA$9)*IF($K$1="是",IF(MOD(N9,360)&lt;=20,1.3,1),1)*(1+$K$3/100))</f>
        <v>16905.41</v>
      </c>
      <c r="P9" s="82">
        <f>P8+(((QUOTIENT(N9,3)-QUOTIENT(N8,3))*(MIN(ROUND(M9*$AA$6,0),5)*$AA$12+$AA$13)+(QUOTIENT(N9,$AD$6)-QUOTIENT(N8,$AD$6))*(MIN(ROUND((M9+1)*$AA$6,0),5)*$AA$4+$AA$11)+IF(ROUND((M9+1)*$AA$6,0)&gt;5,$AA$6*$AA$10,0))*IF($K$1="是",IF(MOD(N9,360)&lt;=20,1.3,1),1)*(1+$K$3/100))</f>
        <v>22943.508</v>
      </c>
      <c r="R9" s="89" t="s">
        <v>140</v>
      </c>
      <c r="S9" s="89"/>
      <c r="T9" s="89"/>
      <c r="U9" s="89"/>
      <c r="V9" s="89"/>
      <c r="W9" s="89"/>
      <c r="Y9" s="12" t="s">
        <v>46</v>
      </c>
      <c r="Z9" s="12"/>
      <c r="AA9">
        <f>ROUND((AA2+(AG5+AG6)*AD2),1)</f>
        <v>486.6</v>
      </c>
    </row>
    <row r="10" spans="1:27">
      <c r="A10" s="52">
        <f t="shared" si="0"/>
        <v>5</v>
      </c>
      <c r="B10" s="53">
        <f>$C$1*((ROW(B10)-5)+(QUOTIENT(COLUMN(B10),4)*25))</f>
        <v>9</v>
      </c>
      <c r="C10" s="54">
        <f t="shared" si="2"/>
        <v>731.42</v>
      </c>
      <c r="D10" s="55">
        <f t="shared" si="3"/>
        <v>289.17</v>
      </c>
      <c r="E10" s="56">
        <f t="shared" si="1"/>
        <v>30</v>
      </c>
      <c r="F10" s="53">
        <f>$C$1*((ROW(F10)-5)+(QUOTIENT(COLUMN(F10),4)*25))</f>
        <v>54</v>
      </c>
      <c r="G10" s="54">
        <f>G9+((ROUND(1*$AA$7*$AA$8,1)+(QUOTIENT(F10,$AD$6)-QUOTIENT(F9,$AD$6))*$AA$9)*IF($K$1="是",IF(MOD(F10,360)&lt;=20,1.3,1),1)*(1+$K$3/100))</f>
        <v>6333.695</v>
      </c>
      <c r="H10" s="55">
        <f t="shared" si="4"/>
        <v>8042.811</v>
      </c>
      <c r="I10" s="56">
        <v>55</v>
      </c>
      <c r="J10" s="53">
        <f>$C$1*((ROW(J10)-5)+(QUOTIENT(COLUMN(J10),4)*25))</f>
        <v>99</v>
      </c>
      <c r="K10" s="54">
        <f>K9+((ROUND(1*$AA$7*$AA$8,1)+(QUOTIENT(J10,$AD$6)-QUOTIENT(J9,$AD$6))*$AA$9)*IF($K$1="是",IF(MOD(J10,360)&lt;=20,1.3,1),1)*(1+$K$3/100))</f>
        <v>11425.04</v>
      </c>
      <c r="L10" s="55">
        <f>L9+(((QUOTIENT(J10,3)-QUOTIENT(J9,3))*(MIN(ROUND(I10*$AA$6,0),5)*$AA$12+$AA$13)+(QUOTIENT(J10,$AD$6)-QUOTIENT(J9,$AD$6))*(MIN(ROUND((I10+1)*$AA$6,0),5)*$AA$4+$AA$11)+IF(ROUND((I10+1)*$AA$6,0)&gt;5,$AA$6*$AA$10,0))*IF($K$1="是",IF(MOD(J10,360)&lt;=20,1.3,1),1)*(1+$K$3/100))</f>
        <v>15225.021</v>
      </c>
      <c r="M10" s="56">
        <v>80</v>
      </c>
      <c r="N10" s="53">
        <f>$C$1*((ROW(N10)-5)+(QUOTIENT(COLUMN(N10),4)*25))</f>
        <v>144</v>
      </c>
      <c r="O10" s="54">
        <f>O9+((ROUND(1*$AA$7*$AA$8,1)+(QUOTIENT(N10,$AD$6)-QUOTIENT(N9,$AD$6))*$AA$9)*IF($K$1="是",IF(MOD(N10,360)&lt;=20,1.3,1),1)*(1+$K$3/100))</f>
        <v>17027.315</v>
      </c>
      <c r="P10" s="82">
        <f>P9+(((QUOTIENT(N10,3)-QUOTIENT(N9,3))*(MIN(ROUND(M10*$AA$6,0),5)*$AA$12+$AA$13)+(QUOTIENT(N10,$AD$6)-QUOTIENT(N9,$AD$6))*(MIN(ROUND((M10+1)*$AA$6,0),5)*$AA$4+$AA$11)+IF(ROUND((M10+1)*$AA$6,0)&gt;5,$AA$6*$AA$10,0))*IF($K$1="是",IF(MOD(N10,360)&lt;=20,1.3,1),1)*(1+$K$3/100))</f>
        <v>23200.296</v>
      </c>
      <c r="R10" s="89" t="s">
        <v>141</v>
      </c>
      <c r="S10" s="89"/>
      <c r="T10" s="89"/>
      <c r="U10" s="89"/>
      <c r="V10" s="89"/>
      <c r="W10" s="89"/>
      <c r="Y10" s="12" t="s">
        <v>47</v>
      </c>
      <c r="Z10" s="12"/>
      <c r="AA10">
        <f>ROUND((AA3+(AG5+AG6)*AD3),1)</f>
        <v>25.1</v>
      </c>
    </row>
    <row r="11" spans="1:28">
      <c r="A11" s="52">
        <f t="shared" si="0"/>
        <v>6</v>
      </c>
      <c r="B11" s="53">
        <f>$C$1*((ROW(B11)-5)+(QUOTIENT(COLUMN(B11),4)*25))</f>
        <v>10.8</v>
      </c>
      <c r="C11" s="54">
        <f t="shared" si="2"/>
        <v>1364.255</v>
      </c>
      <c r="D11" s="55">
        <f t="shared" si="3"/>
        <v>956.235</v>
      </c>
      <c r="E11" s="56">
        <f t="shared" si="1"/>
        <v>31</v>
      </c>
      <c r="F11" s="53">
        <f>$C$1*((ROW(F11)-5)+(QUOTIENT(COLUMN(F11),4)*25))</f>
        <v>55.8</v>
      </c>
      <c r="G11" s="54">
        <f>G10+((ROUND(1*$AA$7*$AA$8,1)+(QUOTIENT(F11,$AD$6)-QUOTIENT(F10,$AD$6))*$AA$9)*IF($K$1="是",IF(MOD(F11,360)&lt;=20,1.3,1),1)*(1+$K$3/100))</f>
        <v>6455.6</v>
      </c>
      <c r="H11" s="55">
        <f t="shared" si="4"/>
        <v>8058.624</v>
      </c>
      <c r="I11" s="56">
        <v>56</v>
      </c>
      <c r="J11" s="53">
        <f>$C$1*((ROW(J11)-5)+(QUOTIENT(COLUMN(J11),4)*25))</f>
        <v>100.8</v>
      </c>
      <c r="K11" s="54">
        <f>K10+((ROUND(1*$AA$7*$AA$8,1)+(QUOTIENT(J11,$AD$6)-QUOTIENT(J10,$AD$6))*$AA$9)*IF($K$1="是",IF(MOD(J11,360)&lt;=20,1.3,1),1)*(1+$K$3/100))</f>
        <v>12057.875</v>
      </c>
      <c r="L11" s="55">
        <f>L10+(((QUOTIENT(J11,3)-QUOTIENT(J10,3))*(MIN(ROUND(I11*$AA$6,0),5)*$AA$12+$AA$13)+(QUOTIENT(J11,$AD$6)-QUOTIENT(J10,$AD$6))*(MIN(ROUND((I11+1)*$AA$6,0),5)*$AA$4+$AA$11)+IF(ROUND((I11+1)*$AA$6,0)&gt;5,$AA$6*$AA$10,0))*IF($K$1="是",IF(MOD(J11,360)&lt;=20,1.3,1),1)*(1+$K$3/100))</f>
        <v>16033.899</v>
      </c>
      <c r="M11" s="56">
        <v>81</v>
      </c>
      <c r="N11" s="53">
        <f>$C$1*((ROW(N11)-5)+(QUOTIENT(COLUMN(N11),4)*25))</f>
        <v>145.8</v>
      </c>
      <c r="O11" s="54">
        <f>O10+((ROUND(1*$AA$7*$AA$8,1)+(QUOTIENT(N11,$AD$6)-QUOTIENT(N10,$AD$6))*$AA$9)*IF($K$1="是",IF(MOD(N11,360)&lt;=20,1.3,1),1)*(1+$K$3/100))</f>
        <v>17149.22</v>
      </c>
      <c r="P11" s="82">
        <f>P10+(((QUOTIENT(N11,3)-QUOTIENT(N10,3))*(MIN(ROUND(M11*$AA$6,0),5)*$AA$12+$AA$13)+(QUOTIENT(N11,$AD$6)-QUOTIENT(N10,$AD$6))*(MIN(ROUND((M11+1)*$AA$6,0),5)*$AA$4+$AA$11)+IF(ROUND((M11+1)*$AA$6,0)&gt;5,$AA$6*$AA$10,0))*IF($K$1="是",IF(MOD(N11,360)&lt;=20,1.3,1),1)*(1+$K$3/100))</f>
        <v>23216.109</v>
      </c>
      <c r="R11" s="89" t="s">
        <v>142</v>
      </c>
      <c r="S11" s="89"/>
      <c r="T11" s="89"/>
      <c r="U11" s="89"/>
      <c r="V11" s="89"/>
      <c r="W11" s="89"/>
      <c r="Y11" s="12" t="s">
        <v>143</v>
      </c>
      <c r="Z11" s="12"/>
      <c r="AA11">
        <f>ROUND((AG5+AG6)*AD4*(1+$K$3/100),1)</f>
        <v>155.3</v>
      </c>
      <c r="AB11" s="130" t="s">
        <v>144</v>
      </c>
    </row>
    <row r="12" spans="1:27">
      <c r="A12" s="52">
        <f t="shared" si="0"/>
        <v>7</v>
      </c>
      <c r="B12" s="53">
        <f>$C$1*((ROW(B12)-5)+(QUOTIENT(COLUMN(B12),4)*25))</f>
        <v>12.6</v>
      </c>
      <c r="C12" s="54">
        <f t="shared" si="2"/>
        <v>1486.16</v>
      </c>
      <c r="D12" s="55">
        <f t="shared" si="3"/>
        <v>1149.015</v>
      </c>
      <c r="E12" s="56">
        <f t="shared" si="1"/>
        <v>32</v>
      </c>
      <c r="F12" s="53">
        <f>$C$1*((ROW(F12)-5)+(QUOTIENT(COLUMN(F12),4)*25))</f>
        <v>57.6</v>
      </c>
      <c r="G12" s="54">
        <f>G11+((ROUND(1*$AA$7*$AA$8,1)+(QUOTIENT(F12,$AD$6)-QUOTIENT(F11,$AD$6))*$AA$9)*IF($K$1="是",IF(MOD(F12,360)&lt;=20,1.3,1),1)*(1+$K$3/100))</f>
        <v>6577.505</v>
      </c>
      <c r="H12" s="55">
        <f t="shared" si="4"/>
        <v>8315.412</v>
      </c>
      <c r="I12" s="56">
        <v>57</v>
      </c>
      <c r="J12" s="53">
        <f>$C$1*((ROW(J12)-5)+(QUOTIENT(COLUMN(J12),4)*25))</f>
        <v>102.6</v>
      </c>
      <c r="K12" s="54">
        <f>K11+((ROUND(1*$AA$7*$AA$8,1)+(QUOTIENT(J12,$AD$6)-QUOTIENT(J11,$AD$6))*$AA$9)*IF($K$1="是",IF(MOD(J12,360)&lt;=20,1.3,1),1)*(1+$K$3/100))</f>
        <v>12179.78</v>
      </c>
      <c r="L12" s="55">
        <f>L11+(((QUOTIENT(J12,3)-QUOTIENT(J11,3))*(MIN(ROUND(I12*$AA$6,0),5)*$AA$12+$AA$13)+(QUOTIENT(J12,$AD$6)-QUOTIENT(J11,$AD$6))*(MIN(ROUND((I12+1)*$AA$6,0),5)*$AA$4+$AA$11)+IF(ROUND((I12+1)*$AA$6,0)&gt;5,$AA$6*$AA$10,0))*IF($K$1="是",IF(MOD(J12,360)&lt;=20,1.3,1),1)*(1+$K$3/100))</f>
        <v>16290.687</v>
      </c>
      <c r="M12" s="56">
        <v>82</v>
      </c>
      <c r="N12" s="53">
        <f>$C$1*((ROW(N12)-5)+(QUOTIENT(COLUMN(N12),4)*25))</f>
        <v>147.6</v>
      </c>
      <c r="O12" s="54">
        <f>O11+((ROUND(1*$AA$7*$AA$8,1)+(QUOTIENT(N12,$AD$6)-QUOTIENT(N11,$AD$6))*$AA$9)*IF($K$1="是",IF(MOD(N12,360)&lt;=20,1.3,1),1)*(1+$K$3/100))</f>
        <v>17271.125</v>
      </c>
      <c r="P12" s="82">
        <f>P11+(((QUOTIENT(N12,3)-QUOTIENT(N11,3))*(MIN(ROUND(M12*$AA$6,0),5)*$AA$12+$AA$13)+(QUOTIENT(N12,$AD$6)-QUOTIENT(N11,$AD$6))*(MIN(ROUND((M12+1)*$AA$6,0),5)*$AA$4+$AA$11)+IF(ROUND((M12+1)*$AA$6,0)&gt;5,$AA$6*$AA$10,0))*IF($K$1="是",IF(MOD(N12,360)&lt;=20,1.3,1),1)*(1+$K$3/100))</f>
        <v>23472.897</v>
      </c>
      <c r="R12" s="89"/>
      <c r="S12" s="89"/>
      <c r="T12" s="89"/>
      <c r="U12" s="89"/>
      <c r="V12" s="89"/>
      <c r="W12" s="89"/>
      <c r="Y12" s="12" t="s">
        <v>145</v>
      </c>
      <c r="Z12" s="12"/>
      <c r="AA12">
        <f>ROUND((AA5+AG5*AD5)*IF($P$3="是",1.1,1),1)</f>
        <v>45.9</v>
      </c>
    </row>
    <row r="13" spans="1:27">
      <c r="A13" s="52">
        <f t="shared" si="0"/>
        <v>8</v>
      </c>
      <c r="B13" s="53">
        <f>$C$1*((ROW(B13)-5)+(QUOTIENT(COLUMN(B13),4)*25))</f>
        <v>14.4</v>
      </c>
      <c r="C13" s="54">
        <f t="shared" si="2"/>
        <v>1608.065</v>
      </c>
      <c r="D13" s="55">
        <f t="shared" si="3"/>
        <v>1149.015</v>
      </c>
      <c r="E13" s="56">
        <f t="shared" si="1"/>
        <v>33</v>
      </c>
      <c r="F13" s="53">
        <f>$C$1*((ROW(F13)-5)+(QUOTIENT(COLUMN(F13),4)*25))</f>
        <v>59.4</v>
      </c>
      <c r="G13" s="54">
        <f>G12+((ROUND(1*$AA$7*$AA$8,1)+(QUOTIENT(F13,$AD$6)-QUOTIENT(F12,$AD$6))*$AA$9)*IF($K$1="是",IF(MOD(F13,360)&lt;=20,1.3,1),1)*(1+$K$3/100))</f>
        <v>6699.41</v>
      </c>
      <c r="H13" s="55">
        <f t="shared" si="4"/>
        <v>8331.225</v>
      </c>
      <c r="I13" s="56">
        <v>58</v>
      </c>
      <c r="J13" s="53">
        <f>$C$1*((ROW(J13)-5)+(QUOTIENT(COLUMN(J13),4)*25))</f>
        <v>104.4</v>
      </c>
      <c r="K13" s="54">
        <f>K12+((ROUND(1*$AA$7*$AA$8,1)+(QUOTIENT(J13,$AD$6)-QUOTIENT(J12,$AD$6))*$AA$9)*IF($K$1="是",IF(MOD(J13,360)&lt;=20,1.3,1),1)*(1+$K$3/100))</f>
        <v>12301.685</v>
      </c>
      <c r="L13" s="55">
        <f>L12+(((QUOTIENT(J13,3)-QUOTIENT(J12,3))*(MIN(ROUND(I13*$AA$6,0),5)*$AA$12+$AA$13)+(QUOTIENT(J13,$AD$6)-QUOTIENT(J12,$AD$6))*(MIN(ROUND((I13+1)*$AA$6,0),5)*$AA$4+$AA$11)+IF(ROUND((I13+1)*$AA$6,0)&gt;5,$AA$6*$AA$10,0))*IF($K$1="是",IF(MOD(J13,360)&lt;=20,1.3,1),1)*(1+$K$3/100))</f>
        <v>16306.5</v>
      </c>
      <c r="M13" s="56">
        <v>83</v>
      </c>
      <c r="N13" s="53">
        <f>$C$1*((ROW(N13)-5)+(QUOTIENT(COLUMN(N13),4)*25))</f>
        <v>149.4</v>
      </c>
      <c r="O13" s="54">
        <f>O12+((ROUND(1*$AA$7*$AA$8,1)+(QUOTIENT(N13,$AD$6)-QUOTIENT(N12,$AD$6))*$AA$9)*IF($K$1="是",IF(MOD(N13,360)&lt;=20,1.3,1),1)*(1+$K$3/100))</f>
        <v>17393.03</v>
      </c>
      <c r="P13" s="82">
        <f>P12+(((QUOTIENT(N13,3)-QUOTIENT(N12,3))*(MIN(ROUND(M13*$AA$6,0),5)*$AA$12+$AA$13)+(QUOTIENT(N13,$AD$6)-QUOTIENT(N12,$AD$6))*(MIN(ROUND((M13+1)*$AA$6,0),5)*$AA$4+$AA$11)+IF(ROUND((M13+1)*$AA$6,0)&gt;5,$AA$6*$AA$10,0))*IF($K$1="是",IF(MOD(N13,360)&lt;=20,1.3,1),1)*(1+$K$3/100))</f>
        <v>23488.71</v>
      </c>
      <c r="R13" s="89" t="s">
        <v>146</v>
      </c>
      <c r="S13" s="89"/>
      <c r="T13" s="89"/>
      <c r="U13" s="89"/>
      <c r="V13" s="89"/>
      <c r="W13" s="89"/>
      <c r="Y13" s="12" t="s">
        <v>147</v>
      </c>
      <c r="Z13" s="12"/>
      <c r="AA13">
        <f>ROUND((AG6*AD5)*IF($P$3="是",1,1),1)</f>
        <v>0</v>
      </c>
    </row>
    <row r="14" spans="1:27">
      <c r="A14" s="52">
        <f t="shared" si="0"/>
        <v>9</v>
      </c>
      <c r="B14" s="53">
        <f>$C$1*((ROW(B14)-5)+(QUOTIENT(COLUMN(B14),4)*25))</f>
        <v>16.2</v>
      </c>
      <c r="C14" s="54">
        <f t="shared" si="2"/>
        <v>1729.97</v>
      </c>
      <c r="D14" s="55">
        <f t="shared" si="3"/>
        <v>1405.803</v>
      </c>
      <c r="E14" s="56">
        <f t="shared" si="1"/>
        <v>34</v>
      </c>
      <c r="F14" s="53">
        <f>$C$1*((ROW(F14)-5)+(QUOTIENT(COLUMN(F14),4)*25))</f>
        <v>61.2</v>
      </c>
      <c r="G14" s="54">
        <f>G13+((ROUND(1*$AA$7*$AA$8,1)+(QUOTIENT(F14,$AD$6)-QUOTIENT(F13,$AD$6))*$AA$9)*IF($K$1="是",IF(MOD(F14,360)&lt;=20,1.3,1),1)*(1+$K$3/100))</f>
        <v>7332.245</v>
      </c>
      <c r="H14" s="55">
        <f t="shared" si="4"/>
        <v>9381.078</v>
      </c>
      <c r="I14" s="56">
        <v>59</v>
      </c>
      <c r="J14" s="53">
        <f>$C$1*((ROW(J14)-5)+(QUOTIENT(COLUMN(J14),4)*25))</f>
        <v>106.2</v>
      </c>
      <c r="K14" s="54">
        <f>K13+((ROUND(1*$AA$7*$AA$8,1)+(QUOTIENT(J14,$AD$6)-QUOTIENT(J13,$AD$6))*$AA$9)*IF($K$1="是",IF(MOD(J14,360)&lt;=20,1.3,1),1)*(1+$K$3/100))</f>
        <v>12423.59</v>
      </c>
      <c r="L14" s="55">
        <f>L13+(((QUOTIENT(J14,3)-QUOTIENT(J13,3))*(MIN(ROUND(I14*$AA$6,0),5)*$AA$12+$AA$13)+(QUOTIENT(J14,$AD$6)-QUOTIENT(J13,$AD$6))*(MIN(ROUND((I14+1)*$AA$6,0),5)*$AA$4+$AA$11)+IF(ROUND((I14+1)*$AA$6,0)&gt;5,$AA$6*$AA$10,0))*IF($K$1="是",IF(MOD(J14,360)&lt;=20,1.3,1),1)*(1+$K$3/100))</f>
        <v>16563.288</v>
      </c>
      <c r="M14" s="56">
        <v>84</v>
      </c>
      <c r="N14" s="53">
        <f>$C$1*((ROW(N14)-5)+(QUOTIENT(COLUMN(N14),4)*25))</f>
        <v>151.2</v>
      </c>
      <c r="O14" s="54">
        <f>O13+((ROUND(1*$AA$7*$AA$8,1)+(QUOTIENT(N14,$AD$6)-QUOTIENT(N13,$AD$6))*$AA$9)*IF($K$1="是",IF(MOD(N14,360)&lt;=20,1.3,1),1)*(1+$K$3/100))</f>
        <v>18025.865</v>
      </c>
      <c r="P14" s="82">
        <f>P13+(((QUOTIENT(N14,3)-QUOTIENT(N13,3))*(MIN(ROUND(M14*$AA$6,0),5)*$AA$12+$AA$13)+(QUOTIENT(N14,$AD$6)-QUOTIENT(N13,$AD$6))*(MIN(ROUND((M14+1)*$AA$6,0),5)*$AA$4+$AA$11)+IF(ROUND((M14+1)*$AA$6,0)&gt;5,$AA$6*$AA$10,0))*IF($K$1="是",IF(MOD(N14,360)&lt;=20,1.3,1),1)*(1+$K$3/100))</f>
        <v>24538.563</v>
      </c>
      <c r="R14" s="89" t="s">
        <v>148</v>
      </c>
      <c r="S14" s="89"/>
      <c r="T14" s="89"/>
      <c r="U14" s="89"/>
      <c r="V14" s="89"/>
      <c r="W14" s="89"/>
      <c r="Y14" s="12" t="s">
        <v>149</v>
      </c>
      <c r="Z14" s="12"/>
      <c r="AA14" t="s">
        <v>150</v>
      </c>
    </row>
    <row r="15" spans="1:23">
      <c r="A15" s="52">
        <f t="shared" si="0"/>
        <v>10</v>
      </c>
      <c r="B15" s="53">
        <f>$C$1*((ROW(B15)-5)+(QUOTIENT(COLUMN(B15),4)*25))</f>
        <v>18</v>
      </c>
      <c r="C15" s="54">
        <f t="shared" si="2"/>
        <v>1851.875</v>
      </c>
      <c r="D15" s="55">
        <f t="shared" si="3"/>
        <v>1662.591</v>
      </c>
      <c r="E15" s="56">
        <f t="shared" si="1"/>
        <v>35</v>
      </c>
      <c r="F15" s="53">
        <f>$C$1*((ROW(F15)-5)+(QUOTIENT(COLUMN(F15),4)*25))</f>
        <v>63</v>
      </c>
      <c r="G15" s="54">
        <f>G14+((ROUND(1*$AA$7*$AA$8,1)+(QUOTIENT(F15,$AD$6)-QUOTIENT(F14,$AD$6))*$AA$9)*IF($K$1="是",IF(MOD(F15,360)&lt;=20,1.3,1),1)*(1+$K$3/100))</f>
        <v>7454.15</v>
      </c>
      <c r="H15" s="55">
        <f t="shared" si="4"/>
        <v>9637.866</v>
      </c>
      <c r="I15" s="56">
        <v>60</v>
      </c>
      <c r="J15" s="53">
        <f>$C$1*((ROW(J15)-5)+(QUOTIENT(COLUMN(J15),4)*25))</f>
        <v>108</v>
      </c>
      <c r="K15" s="54">
        <f>K14+((ROUND(1*$AA$7*$AA$8,1)+(QUOTIENT(J15,$AD$6)-QUOTIENT(J14,$AD$6))*$AA$9)*IF($K$1="是",IF(MOD(J15,360)&lt;=20,1.3,1),1)*(1+$K$3/100))</f>
        <v>12545.495</v>
      </c>
      <c r="L15" s="55">
        <f>L14+(((QUOTIENT(J15,3)-QUOTIENT(J14,3))*(MIN(ROUND(I15*$AA$6,0),5)*$AA$12+$AA$13)+(QUOTIENT(J15,$AD$6)-QUOTIENT(J14,$AD$6))*(MIN(ROUND((I15+1)*$AA$6,0),5)*$AA$4+$AA$11)+IF(ROUND((I15+1)*$AA$6,0)&gt;5,$AA$6*$AA$10,0))*IF($K$1="是",IF(MOD(J15,360)&lt;=20,1.3,1),1)*(1+$K$3/100))</f>
        <v>16820.076</v>
      </c>
      <c r="M15" s="56">
        <v>85</v>
      </c>
      <c r="N15" s="53">
        <f>$C$1*((ROW(N15)-5)+(QUOTIENT(COLUMN(N15),4)*25))</f>
        <v>153</v>
      </c>
      <c r="O15" s="54">
        <f>O14+((ROUND(1*$AA$7*$AA$8,1)+(QUOTIENT(N15,$AD$6)-QUOTIENT(N14,$AD$6))*$AA$9)*IF($K$1="是",IF(MOD(N15,360)&lt;=20,1.3,1),1)*(1+$K$3/100))</f>
        <v>18147.77</v>
      </c>
      <c r="P15" s="82">
        <f>P14+(((QUOTIENT(N15,3)-QUOTIENT(N14,3))*(MIN(ROUND(M15*$AA$6,0),5)*$AA$12+$AA$13)+(QUOTIENT(N15,$AD$6)-QUOTIENT(N14,$AD$6))*(MIN(ROUND((M15+1)*$AA$6,0),5)*$AA$4+$AA$11)+IF(ROUND((M15+1)*$AA$6,0)&gt;5,$AA$6*$AA$10,0))*IF($K$1="是",IF(MOD(N15,360)&lt;=20,1.3,1),1)*(1+$K$3/100))</f>
        <v>24795.351</v>
      </c>
      <c r="R15" s="89" t="s">
        <v>151</v>
      </c>
      <c r="S15" s="89"/>
      <c r="T15" s="89"/>
      <c r="U15" s="89"/>
      <c r="V15" s="89"/>
      <c r="W15" s="89"/>
    </row>
    <row r="16" spans="1:23">
      <c r="A16" s="52">
        <f t="shared" si="0"/>
        <v>11</v>
      </c>
      <c r="B16" s="53">
        <f>$C$1*((ROW(B16)-5)+(QUOTIENT(COLUMN(B16),4)*25))</f>
        <v>19.8</v>
      </c>
      <c r="C16" s="54">
        <f t="shared" si="2"/>
        <v>1973.78</v>
      </c>
      <c r="D16" s="55">
        <f t="shared" si="3"/>
        <v>1678.404</v>
      </c>
      <c r="E16" s="56">
        <f t="shared" si="1"/>
        <v>36</v>
      </c>
      <c r="F16" s="53">
        <f>$C$1*((ROW(F16)-5)+(QUOTIENT(COLUMN(F16),4)*25))</f>
        <v>64.8</v>
      </c>
      <c r="G16" s="54">
        <f>G15+((ROUND(1*$AA$7*$AA$8,1)+(QUOTIENT(F16,$AD$6)-QUOTIENT(F15,$AD$6))*$AA$9)*IF($K$1="是",IF(MOD(F16,360)&lt;=20,1.3,1),1)*(1+$K$3/100))</f>
        <v>7576.055</v>
      </c>
      <c r="H16" s="55">
        <f t="shared" si="4"/>
        <v>9653.679</v>
      </c>
      <c r="I16" s="56">
        <v>61</v>
      </c>
      <c r="J16" s="53">
        <f>$C$1*((ROW(J16)-5)+(QUOTIENT(COLUMN(J16),4)*25))</f>
        <v>109.8</v>
      </c>
      <c r="K16" s="54">
        <f>K15+((ROUND(1*$AA$7*$AA$8,1)+(QUOTIENT(J16,$AD$6)-QUOTIENT(J15,$AD$6))*$AA$9)*IF($K$1="是",IF(MOD(J16,360)&lt;=20,1.3,1),1)*(1+$K$3/100))</f>
        <v>12667.4</v>
      </c>
      <c r="L16" s="55">
        <f>L15+(((QUOTIENT(J16,3)-QUOTIENT(J15,3))*(MIN(ROUND(I16*$AA$6,0),5)*$AA$12+$AA$13)+(QUOTIENT(J16,$AD$6)-QUOTIENT(J15,$AD$6))*(MIN(ROUND((I16+1)*$AA$6,0),5)*$AA$4+$AA$11)+IF(ROUND((I16+1)*$AA$6,0)&gt;5,$AA$6*$AA$10,0))*IF($K$1="是",IF(MOD(J16,360)&lt;=20,1.3,1),1)*(1+$K$3/100))</f>
        <v>16835.889</v>
      </c>
      <c r="M16" s="56">
        <v>86</v>
      </c>
      <c r="N16" s="53">
        <f>$C$1*((ROW(N16)-5)+(QUOTIENT(COLUMN(N16),4)*25))</f>
        <v>154.8</v>
      </c>
      <c r="O16" s="54">
        <f>O15+((ROUND(1*$AA$7*$AA$8,1)+(QUOTIENT(N16,$AD$6)-QUOTIENT(N15,$AD$6))*$AA$9)*IF($K$1="是",IF(MOD(N16,360)&lt;=20,1.3,1),1)*(1+$K$3/100))</f>
        <v>18269.675</v>
      </c>
      <c r="P16" s="82">
        <f>P15+(((QUOTIENT(N16,3)-QUOTIENT(N15,3))*(MIN(ROUND(M16*$AA$6,0),5)*$AA$12+$AA$13)+(QUOTIENT(N16,$AD$6)-QUOTIENT(N15,$AD$6))*(MIN(ROUND((M16+1)*$AA$6,0),5)*$AA$4+$AA$11)+IF(ROUND((M16+1)*$AA$6,0)&gt;5,$AA$6*$AA$10,0))*IF($K$1="是",IF(MOD(N16,360)&lt;=20,1.3,1),1)*(1+$K$3/100))</f>
        <v>24811.164</v>
      </c>
      <c r="R16" s="89" t="s">
        <v>152</v>
      </c>
      <c r="S16" s="89"/>
      <c r="T16" s="89"/>
      <c r="U16" s="89"/>
      <c r="V16" s="89"/>
      <c r="W16" s="89"/>
    </row>
    <row r="17" spans="1:23">
      <c r="A17" s="52">
        <f t="shared" si="0"/>
        <v>12</v>
      </c>
      <c r="B17" s="53">
        <f>$C$1*((ROW(B17)-5)+(QUOTIENT(COLUMN(B17),4)*25))</f>
        <v>21.6</v>
      </c>
      <c r="C17" s="54">
        <f t="shared" si="2"/>
        <v>2606.615</v>
      </c>
      <c r="D17" s="55">
        <f t="shared" si="3"/>
        <v>2728.257</v>
      </c>
      <c r="E17" s="56">
        <f t="shared" si="1"/>
        <v>37</v>
      </c>
      <c r="F17" s="53">
        <f>$C$1*((ROW(F17)-5)+(QUOTIENT(COLUMN(F17),4)*25))</f>
        <v>66.6</v>
      </c>
      <c r="G17" s="54">
        <f>G16+((ROUND(1*$AA$7*$AA$8,1)+(QUOTIENT(F17,$AD$6)-QUOTIENT(F16,$AD$6))*$AA$9)*IF($K$1="是",IF(MOD(F17,360)&lt;=20,1.3,1),1)*(1+$K$3/100))</f>
        <v>7697.96</v>
      </c>
      <c r="H17" s="55">
        <f t="shared" si="4"/>
        <v>9910.467</v>
      </c>
      <c r="I17" s="56">
        <v>62</v>
      </c>
      <c r="J17" s="53">
        <f>$C$1*((ROW(J17)-5)+(QUOTIENT(COLUMN(J17),4)*25))</f>
        <v>111.6</v>
      </c>
      <c r="K17" s="54">
        <f>K16+((ROUND(1*$AA$7*$AA$8,1)+(QUOTIENT(J17,$AD$6)-QUOTIENT(J16,$AD$6))*$AA$9)*IF($K$1="是",IF(MOD(J17,360)&lt;=20,1.3,1),1)*(1+$K$3/100))</f>
        <v>13300.235</v>
      </c>
      <c r="L17" s="55">
        <f>L16+(((QUOTIENT(J17,3)-QUOTIENT(J16,3))*(MIN(ROUND(I17*$AA$6,0),5)*$AA$12+$AA$13)+(QUOTIENT(J17,$AD$6)-QUOTIENT(J16,$AD$6))*(MIN(ROUND((I17+1)*$AA$6,0),5)*$AA$4+$AA$11)+IF(ROUND((I17+1)*$AA$6,0)&gt;5,$AA$6*$AA$10,0))*IF($K$1="是",IF(MOD(J17,360)&lt;=20,1.3,1),1)*(1+$K$3/100))</f>
        <v>17885.742</v>
      </c>
      <c r="M17" s="56">
        <v>87</v>
      </c>
      <c r="N17" s="53">
        <f>$C$1*((ROW(N17)-5)+(QUOTIENT(COLUMN(N17),4)*25))</f>
        <v>156.6</v>
      </c>
      <c r="O17" s="54">
        <f>O16+((ROUND(1*$AA$7*$AA$8,1)+(QUOTIENT(N17,$AD$6)-QUOTIENT(N16,$AD$6))*$AA$9)*IF($K$1="是",IF(MOD(N17,360)&lt;=20,1.3,1),1)*(1+$K$3/100))</f>
        <v>18391.58</v>
      </c>
      <c r="P17" s="82">
        <f>P16+(((QUOTIENT(N17,3)-QUOTIENT(N16,3))*(MIN(ROUND(M17*$AA$6,0),5)*$AA$12+$AA$13)+(QUOTIENT(N17,$AD$6)-QUOTIENT(N16,$AD$6))*(MIN(ROUND((M17+1)*$AA$6,0),5)*$AA$4+$AA$11)+IF(ROUND((M17+1)*$AA$6,0)&gt;5,$AA$6*$AA$10,0))*IF($K$1="是",IF(MOD(N17,360)&lt;=20,1.3,1),1)*(1+$K$3/100))</f>
        <v>25067.952</v>
      </c>
      <c r="R17" s="89" t="s">
        <v>153</v>
      </c>
      <c r="S17" s="89"/>
      <c r="T17" s="89"/>
      <c r="U17" s="89"/>
      <c r="V17" s="89"/>
      <c r="W17" s="89"/>
    </row>
    <row r="18" spans="1:23">
      <c r="A18" s="52">
        <f t="shared" si="0"/>
        <v>13</v>
      </c>
      <c r="B18" s="53">
        <f>$C$1*((ROW(B18)-5)+(QUOTIENT(COLUMN(B18),4)*25))</f>
        <v>23.4</v>
      </c>
      <c r="C18" s="54">
        <f t="shared" si="2"/>
        <v>2728.52</v>
      </c>
      <c r="D18" s="55">
        <f t="shared" si="3"/>
        <v>2744.07</v>
      </c>
      <c r="E18" s="56">
        <f t="shared" si="1"/>
        <v>38</v>
      </c>
      <c r="F18" s="53">
        <f>$C$1*((ROW(F18)-5)+(QUOTIENT(COLUMN(F18),4)*25))</f>
        <v>68.4</v>
      </c>
      <c r="G18" s="54">
        <f>G17+((ROUND(1*$AA$7*$AA$8,1)+(QUOTIENT(F18,$AD$6)-QUOTIENT(F17,$AD$6))*$AA$9)*IF($K$1="是",IF(MOD(F18,360)&lt;=20,1.3,1),1)*(1+$K$3/100))</f>
        <v>7819.865</v>
      </c>
      <c r="H18" s="55">
        <f t="shared" si="4"/>
        <v>9926.28</v>
      </c>
      <c r="I18" s="56">
        <v>63</v>
      </c>
      <c r="J18" s="53">
        <f>$C$1*((ROW(J18)-5)+(QUOTIENT(COLUMN(J18),4)*25))</f>
        <v>113.4</v>
      </c>
      <c r="K18" s="54">
        <f>K17+((ROUND(1*$AA$7*$AA$8,1)+(QUOTIENT(J18,$AD$6)-QUOTIENT(J17,$AD$6))*$AA$9)*IF($K$1="是",IF(MOD(J18,360)&lt;=20,1.3,1),1)*(1+$K$3/100))</f>
        <v>13422.14</v>
      </c>
      <c r="L18" s="55">
        <f>L17+(((QUOTIENT(J18,3)-QUOTIENT(J17,3))*(MIN(ROUND(I18*$AA$6,0),5)*$AA$12+$AA$13)+(QUOTIENT(J18,$AD$6)-QUOTIENT(J17,$AD$6))*(MIN(ROUND((I18+1)*$AA$6,0),5)*$AA$4+$AA$11)+IF(ROUND((I18+1)*$AA$6,0)&gt;5,$AA$6*$AA$10,0))*IF($K$1="是",IF(MOD(J18,360)&lt;=20,1.3,1),1)*(1+$K$3/100))</f>
        <v>17901.555</v>
      </c>
      <c r="M18" s="56">
        <v>88</v>
      </c>
      <c r="N18" s="53">
        <f>$C$1*((ROW(N18)-5)+(QUOTIENT(COLUMN(N18),4)*25))</f>
        <v>158.4</v>
      </c>
      <c r="O18" s="54">
        <f>O17+((ROUND(1*$AA$7*$AA$8,1)+(QUOTIENT(N18,$AD$6)-QUOTIENT(N17,$AD$6))*$AA$9)*IF($K$1="是",IF(MOD(N18,360)&lt;=20,1.3,1),1)*(1+$K$3/100))</f>
        <v>18513.485</v>
      </c>
      <c r="P18" s="82">
        <f>P17+(((QUOTIENT(N18,3)-QUOTIENT(N17,3))*(MIN(ROUND(M18*$AA$6,0),5)*$AA$12+$AA$13)+(QUOTIENT(N18,$AD$6)-QUOTIENT(N17,$AD$6))*(MIN(ROUND((M18+1)*$AA$6,0),5)*$AA$4+$AA$11)+IF(ROUND((M18+1)*$AA$6,0)&gt;5,$AA$6*$AA$10,0))*IF($K$1="是",IF(MOD(N18,360)&lt;=20,1.3,1),1)*(1+$K$3/100))</f>
        <v>25083.765</v>
      </c>
      <c r="R18" s="89" t="s">
        <v>154</v>
      </c>
      <c r="S18" s="89"/>
      <c r="T18" s="89"/>
      <c r="U18" s="89"/>
      <c r="V18" s="89"/>
      <c r="W18" s="89"/>
    </row>
    <row r="19" spans="1:23">
      <c r="A19" s="52">
        <f t="shared" si="0"/>
        <v>14</v>
      </c>
      <c r="B19" s="53">
        <f>$C$1*((ROW(B19)-5)+(QUOTIENT(COLUMN(B19),4)*25))</f>
        <v>25.2</v>
      </c>
      <c r="C19" s="54">
        <f t="shared" si="2"/>
        <v>2850.425</v>
      </c>
      <c r="D19" s="55">
        <f t="shared" si="3"/>
        <v>3000.858</v>
      </c>
      <c r="E19" s="56">
        <f t="shared" si="1"/>
        <v>39</v>
      </c>
      <c r="F19" s="53">
        <f>$C$1*((ROW(F19)-5)+(QUOTIENT(COLUMN(F19),4)*25))</f>
        <v>70.2</v>
      </c>
      <c r="G19" s="54">
        <f>G18+((ROUND(1*$AA$7*$AA$8,1)+(QUOTIENT(F19,$AD$6)-QUOTIENT(F18,$AD$6))*$AA$9)*IF($K$1="是",IF(MOD(F19,360)&lt;=20,1.3,1),1)*(1+$K$3/100))</f>
        <v>8452.7</v>
      </c>
      <c r="H19" s="55">
        <f t="shared" si="4"/>
        <v>10976.133</v>
      </c>
      <c r="I19" s="56">
        <v>64</v>
      </c>
      <c r="J19" s="53">
        <f>$C$1*((ROW(J19)-5)+(QUOTIENT(COLUMN(J19),4)*25))</f>
        <v>115.2</v>
      </c>
      <c r="K19" s="54">
        <f>K18+((ROUND(1*$AA$7*$AA$8,1)+(QUOTIENT(J19,$AD$6)-QUOTIENT(J18,$AD$6))*$AA$9)*IF($K$1="是",IF(MOD(J19,360)&lt;=20,1.3,1),1)*(1+$K$3/100))</f>
        <v>13544.045</v>
      </c>
      <c r="L19" s="55">
        <f>L18+(((QUOTIENT(J19,3)-QUOTIENT(J18,3))*(MIN(ROUND(I19*$AA$6,0),5)*$AA$12+$AA$13)+(QUOTIENT(J19,$AD$6)-QUOTIENT(J18,$AD$6))*(MIN(ROUND((I19+1)*$AA$6,0),5)*$AA$4+$AA$11)+IF(ROUND((I19+1)*$AA$6,0)&gt;5,$AA$6*$AA$10,0))*IF($K$1="是",IF(MOD(J19,360)&lt;=20,1.3,1),1)*(1+$K$3/100))</f>
        <v>18158.343</v>
      </c>
      <c r="M19" s="56">
        <v>89</v>
      </c>
      <c r="N19" s="53">
        <f>$C$1*((ROW(N19)-5)+(QUOTIENT(COLUMN(N19),4)*25))</f>
        <v>160.2</v>
      </c>
      <c r="O19" s="54">
        <f>O18+((ROUND(1*$AA$7*$AA$8,1)+(QUOTIENT(N19,$AD$6)-QUOTIENT(N18,$AD$6))*$AA$9)*IF($K$1="是",IF(MOD(N19,360)&lt;=20,1.3,1),1)*(1+$K$3/100))</f>
        <v>19146.32</v>
      </c>
      <c r="P19" s="82">
        <f>P18+(((QUOTIENT(N19,3)-QUOTIENT(N18,3))*(MIN(ROUND(M19*$AA$6,0),5)*$AA$12+$AA$13)+(QUOTIENT(N19,$AD$6)-QUOTIENT(N18,$AD$6))*(MIN(ROUND((M19+1)*$AA$6,0),5)*$AA$4+$AA$11)+IF(ROUND((M19+1)*$AA$6,0)&gt;5,$AA$6*$AA$10,0))*IF($K$1="是",IF(MOD(N19,360)&lt;=20,1.3,1),1)*(1+$K$3/100))</f>
        <v>26133.618</v>
      </c>
      <c r="R19" s="89" t="s">
        <v>155</v>
      </c>
      <c r="S19" s="89"/>
      <c r="T19" s="89"/>
      <c r="U19" s="89"/>
      <c r="V19" s="89"/>
      <c r="W19" s="89"/>
    </row>
    <row r="20" spans="1:25">
      <c r="A20" s="52">
        <f t="shared" si="0"/>
        <v>15</v>
      </c>
      <c r="B20" s="53">
        <f>$C$1*((ROW(B20)-5)+(QUOTIENT(COLUMN(B20),4)*25))</f>
        <v>27</v>
      </c>
      <c r="C20" s="54">
        <f t="shared" si="2"/>
        <v>2972.33</v>
      </c>
      <c r="D20" s="55">
        <f t="shared" si="3"/>
        <v>3257.646</v>
      </c>
      <c r="E20" s="56">
        <f t="shared" si="1"/>
        <v>40</v>
      </c>
      <c r="F20" s="53">
        <f>$C$1*((ROW(F20)-5)+(QUOTIENT(COLUMN(F20),4)*25))</f>
        <v>72</v>
      </c>
      <c r="G20" s="54">
        <f>G19+((ROUND(1*$AA$7*$AA$8,1)+(QUOTIENT(F20,$AD$6)-QUOTIENT(F19,$AD$6))*$AA$9)*IF($K$1="是",IF(MOD(F20,360)&lt;=20,1.3,1),1)*(1+$K$3/100))</f>
        <v>8574.605</v>
      </c>
      <c r="H20" s="55">
        <f t="shared" si="4"/>
        <v>11232.921</v>
      </c>
      <c r="I20" s="56">
        <v>65</v>
      </c>
      <c r="J20" s="53">
        <f>$C$1*((ROW(J20)-5)+(QUOTIENT(COLUMN(J20),4)*25))</f>
        <v>117</v>
      </c>
      <c r="K20" s="54">
        <f>K19+((ROUND(1*$AA$7*$AA$8,1)+(QUOTIENT(J20,$AD$6)-QUOTIENT(J19,$AD$6))*$AA$9)*IF($K$1="是",IF(MOD(J20,360)&lt;=20,1.3,1),1)*(1+$K$3/100))</f>
        <v>13665.95</v>
      </c>
      <c r="L20" s="55">
        <f>L19+(((QUOTIENT(J20,3)-QUOTIENT(J19,3))*(MIN(ROUND(I20*$AA$6,0),5)*$AA$12+$AA$13)+(QUOTIENT(J20,$AD$6)-QUOTIENT(J19,$AD$6))*(MIN(ROUND((I20+1)*$AA$6,0),5)*$AA$4+$AA$11)+IF(ROUND((I20+1)*$AA$6,0)&gt;5,$AA$6*$AA$10,0))*IF($K$1="是",IF(MOD(J20,360)&lt;=20,1.3,1),1)*(1+$K$3/100))</f>
        <v>18415.131</v>
      </c>
      <c r="M20" s="56">
        <v>90</v>
      </c>
      <c r="N20" s="53">
        <f>$C$1*((ROW(N20)-5)+(QUOTIENT(COLUMN(N20),4)*25))</f>
        <v>162</v>
      </c>
      <c r="O20" s="54">
        <f>O19+((ROUND(1*$AA$7*$AA$8,1)+(QUOTIENT(N20,$AD$6)-QUOTIENT(N19,$AD$6))*$AA$9)*IF($K$1="是",IF(MOD(N20,360)&lt;=20,1.3,1),1)*(1+$K$3/100))</f>
        <v>19268.225</v>
      </c>
      <c r="P20" s="82">
        <f>P19+(((QUOTIENT(N20,3)-QUOTIENT(N19,3))*(MIN(ROUND(M20*$AA$6,0),5)*$AA$12+$AA$13)+(QUOTIENT(N20,$AD$6)-QUOTIENT(N19,$AD$6))*(MIN(ROUND((M20+1)*$AA$6,0),5)*$AA$4+$AA$11)+IF(ROUND((M20+1)*$AA$6,0)&gt;5,$AA$6*$AA$10,0))*IF($K$1="是",IF(MOD(N20,360)&lt;=20,1.3,1),1)*(1+$K$3/100))</f>
        <v>26390.406</v>
      </c>
      <c r="R20" s="89" t="s">
        <v>156</v>
      </c>
      <c r="S20" s="89"/>
      <c r="T20" s="89"/>
      <c r="U20" s="89"/>
      <c r="V20" s="89"/>
      <c r="W20" s="89"/>
      <c r="Y20" t="s">
        <v>157</v>
      </c>
    </row>
    <row r="21" spans="1:26">
      <c r="A21" s="52">
        <f t="shared" si="0"/>
        <v>16</v>
      </c>
      <c r="B21" s="53">
        <f>$C$1*((ROW(B21)-5)+(QUOTIENT(COLUMN(B21),4)*25))</f>
        <v>28.8</v>
      </c>
      <c r="C21" s="54">
        <f t="shared" si="2"/>
        <v>3094.235</v>
      </c>
      <c r="D21" s="55">
        <f t="shared" si="3"/>
        <v>3273.459</v>
      </c>
      <c r="E21" s="56">
        <f t="shared" si="1"/>
        <v>41</v>
      </c>
      <c r="F21" s="53">
        <f>$C$1*((ROW(F21)-5)+(QUOTIENT(COLUMN(F21),4)*25))</f>
        <v>73.8</v>
      </c>
      <c r="G21" s="54">
        <f>G20+((ROUND(1*$AA$7*$AA$8,1)+(QUOTIENT(F21,$AD$6)-QUOTIENT(F20,$AD$6))*$AA$9)*IF($K$1="是",IF(MOD(F21,360)&lt;=20,1.3,1),1)*(1+$K$3/100))</f>
        <v>8696.51</v>
      </c>
      <c r="H21" s="55">
        <f t="shared" si="4"/>
        <v>11248.734</v>
      </c>
      <c r="I21" s="56">
        <v>66</v>
      </c>
      <c r="J21" s="53">
        <f>$C$1*((ROW(J21)-5)+(QUOTIENT(COLUMN(J21),4)*25))</f>
        <v>118.8</v>
      </c>
      <c r="K21" s="54">
        <f>K20+((ROUND(1*$AA$7*$AA$8,1)+(QUOTIENT(J21,$AD$6)-QUOTIENT(J20,$AD$6))*$AA$9)*IF($K$1="是",IF(MOD(J21,360)&lt;=20,1.3,1),1)*(1+$K$3/100))</f>
        <v>13787.855</v>
      </c>
      <c r="L21" s="55">
        <f>L20+(((QUOTIENT(J21,3)-QUOTIENT(J20,3))*(MIN(ROUND(I21*$AA$6,0),5)*$AA$12+$AA$13)+(QUOTIENT(J21,$AD$6)-QUOTIENT(J20,$AD$6))*(MIN(ROUND((I21+1)*$AA$6,0),5)*$AA$4+$AA$11)+IF(ROUND((I21+1)*$AA$6,0)&gt;5,$AA$6*$AA$10,0))*IF($K$1="是",IF(MOD(J21,360)&lt;=20,1.3,1),1)*(1+$K$3/100))</f>
        <v>18430.944</v>
      </c>
      <c r="M21" s="56">
        <v>91</v>
      </c>
      <c r="N21" s="53">
        <f>$C$1*((ROW(N21)-5)+(QUOTIENT(COLUMN(N21),4)*25))</f>
        <v>163.8</v>
      </c>
      <c r="O21" s="54">
        <f>O20+((ROUND(1*$AA$7*$AA$8,1)+(QUOTIENT(N21,$AD$6)-QUOTIENT(N20,$AD$6))*$AA$9)*IF($K$1="是",IF(MOD(N21,360)&lt;=20,1.3,1),1)*(1+$K$3/100))</f>
        <v>19390.13</v>
      </c>
      <c r="P21" s="82">
        <f>P20+(((QUOTIENT(N21,3)-QUOTIENT(N20,3))*(MIN(ROUND(M21*$AA$6,0),5)*$AA$12+$AA$13)+(QUOTIENT(N21,$AD$6)-QUOTIENT(N20,$AD$6))*(MIN(ROUND((M21+1)*$AA$6,0),5)*$AA$4+$AA$11)+IF(ROUND((M21+1)*$AA$6,0)&gt;5,$AA$6*$AA$10,0))*IF($K$1="是",IF(MOD(N21,360)&lt;=20,1.3,1),1)*(1+$K$3/100))</f>
        <v>26406.219</v>
      </c>
      <c r="R21" s="89" t="s">
        <v>53</v>
      </c>
      <c r="S21" s="89"/>
      <c r="T21" s="89"/>
      <c r="U21" s="89"/>
      <c r="V21" s="89"/>
      <c r="W21" s="89"/>
      <c r="Y21" t="s">
        <v>98</v>
      </c>
      <c r="Z21" t="s">
        <v>158</v>
      </c>
    </row>
    <row r="22" spans="1:26">
      <c r="A22" s="52">
        <f t="shared" si="0"/>
        <v>17</v>
      </c>
      <c r="B22" s="53">
        <f>$C$1*((ROW(B22)-5)+(QUOTIENT(COLUMN(B22),4)*25))</f>
        <v>30.6</v>
      </c>
      <c r="C22" s="54">
        <f t="shared" si="2"/>
        <v>3727.07</v>
      </c>
      <c r="D22" s="55">
        <f t="shared" si="3"/>
        <v>4323.312</v>
      </c>
      <c r="E22" s="56">
        <f t="shared" si="1"/>
        <v>42</v>
      </c>
      <c r="F22" s="53">
        <f>$C$1*((ROW(F22)-5)+(QUOTIENT(COLUMN(F22),4)*25))</f>
        <v>75.6</v>
      </c>
      <c r="G22" s="54">
        <f>G21+((ROUND(1*$AA$7*$AA$8,1)+(QUOTIENT(F22,$AD$6)-QUOTIENT(F21,$AD$6))*$AA$9)*IF($K$1="是",IF(MOD(F22,360)&lt;=20,1.3,1),1)*(1+$K$3/100))</f>
        <v>8818.415</v>
      </c>
      <c r="H22" s="55">
        <f t="shared" si="4"/>
        <v>11505.522</v>
      </c>
      <c r="I22" s="56">
        <v>67</v>
      </c>
      <c r="J22" s="53">
        <f>$C$1*((ROW(J22)-5)+(QUOTIENT(COLUMN(J22),4)*25))</f>
        <v>120.6</v>
      </c>
      <c r="K22" s="54">
        <f>K21+((ROUND(1*$AA$7*$AA$8,1)+(QUOTIENT(J22,$AD$6)-QUOTIENT(J21,$AD$6))*$AA$9)*IF($K$1="是",IF(MOD(J22,360)&lt;=20,1.3,1),1)*(1+$K$3/100))</f>
        <v>14420.69</v>
      </c>
      <c r="L22" s="55">
        <f>L21+(((QUOTIENT(J22,3)-QUOTIENT(J21,3))*(MIN(ROUND(I22*$AA$6,0),5)*$AA$12+$AA$13)+(QUOTIENT(J22,$AD$6)-QUOTIENT(J21,$AD$6))*(MIN(ROUND((I22+1)*$AA$6,0),5)*$AA$4+$AA$11)+IF(ROUND((I22+1)*$AA$6,0)&gt;5,$AA$6*$AA$10,0))*IF($K$1="是",IF(MOD(J22,360)&lt;=20,1.3,1),1)*(1+$K$3/100))</f>
        <v>19480.797</v>
      </c>
      <c r="M22" s="56">
        <v>92</v>
      </c>
      <c r="N22" s="53">
        <f>$C$1*((ROW(N22)-5)+(QUOTIENT(COLUMN(N22),4)*25))</f>
        <v>165.6</v>
      </c>
      <c r="O22" s="54">
        <f>O21+((ROUND(1*$AA$7*$AA$8,1)+(QUOTIENT(N22,$AD$6)-QUOTIENT(N21,$AD$6))*$AA$9)*IF($K$1="是",IF(MOD(N22,360)&lt;=20,1.3,1),1)*(1+$K$3/100))</f>
        <v>19512.035</v>
      </c>
      <c r="P22" s="82">
        <f>P21+(((QUOTIENT(N22,3)-QUOTIENT(N21,3))*(MIN(ROUND(M22*$AA$6,0),5)*$AA$12+$AA$13)+(QUOTIENT(N22,$AD$6)-QUOTIENT(N21,$AD$6))*(MIN(ROUND((M22+1)*$AA$6,0),5)*$AA$4+$AA$11)+IF(ROUND((M22+1)*$AA$6,0)&gt;5,$AA$6*$AA$10,0))*IF($K$1="是",IF(MOD(N22,360)&lt;=20,1.3,1),1)*(1+$K$3/100))</f>
        <v>26663.007</v>
      </c>
      <c r="R22" s="89" t="s">
        <v>54</v>
      </c>
      <c r="S22" s="89"/>
      <c r="T22" s="89"/>
      <c r="U22" s="89"/>
      <c r="V22" s="89"/>
      <c r="W22" s="89"/>
      <c r="Y22" t="s">
        <v>101</v>
      </c>
      <c r="Z22" t="s">
        <v>159</v>
      </c>
    </row>
    <row r="23" spans="1:26">
      <c r="A23" s="52">
        <f t="shared" si="0"/>
        <v>18</v>
      </c>
      <c r="B23" s="53">
        <f>$C$1*((ROW(B23)-5)+(QUOTIENT(COLUMN(B23),4)*25))</f>
        <v>32.4</v>
      </c>
      <c r="C23" s="54">
        <f t="shared" si="2"/>
        <v>3848.975</v>
      </c>
      <c r="D23" s="55">
        <f t="shared" si="3"/>
        <v>4339.125</v>
      </c>
      <c r="E23" s="56">
        <f t="shared" si="1"/>
        <v>43</v>
      </c>
      <c r="F23" s="53">
        <f>$C$1*((ROW(F23)-5)+(QUOTIENT(COLUMN(F23),4)*25))</f>
        <v>77.4</v>
      </c>
      <c r="G23" s="54">
        <f>G22+((ROUND(1*$AA$7*$AA$8,1)+(QUOTIENT(F23,$AD$6)-QUOTIENT(F22,$AD$6))*$AA$9)*IF($K$1="是",IF(MOD(F23,360)&lt;=20,1.3,1),1)*(1+$K$3/100))</f>
        <v>8940.32</v>
      </c>
      <c r="H23" s="55">
        <f t="shared" si="4"/>
        <v>11521.335</v>
      </c>
      <c r="I23" s="56">
        <v>68</v>
      </c>
      <c r="J23" s="53">
        <f>$C$1*((ROW(J23)-5)+(QUOTIENT(COLUMN(J23),4)*25))</f>
        <v>122.4</v>
      </c>
      <c r="K23" s="54">
        <f>K22+((ROUND(1*$AA$7*$AA$8,1)+(QUOTIENT(J23,$AD$6)-QUOTIENT(J22,$AD$6))*$AA$9)*IF($K$1="是",IF(MOD(J23,360)&lt;=20,1.3,1),1)*(1+$K$3/100))</f>
        <v>14542.595</v>
      </c>
      <c r="L23" s="55">
        <f>L22+(((QUOTIENT(J23,3)-QUOTIENT(J22,3))*(MIN(ROUND(I23*$AA$6,0),5)*$AA$12+$AA$13)+(QUOTIENT(J23,$AD$6)-QUOTIENT(J22,$AD$6))*(MIN(ROUND((I23+1)*$AA$6,0),5)*$AA$4+$AA$11)+IF(ROUND((I23+1)*$AA$6,0)&gt;5,$AA$6*$AA$10,0))*IF($K$1="是",IF(MOD(J23,360)&lt;=20,1.3,1),1)*(1+$K$3/100))</f>
        <v>19496.61</v>
      </c>
      <c r="M23" s="56">
        <v>93</v>
      </c>
      <c r="N23" s="53">
        <f>$C$1*((ROW(N23)-5)+(QUOTIENT(COLUMN(N23),4)*25))</f>
        <v>167.4</v>
      </c>
      <c r="O23" s="54">
        <f>O22+((ROUND(1*$AA$7*$AA$8,1)+(QUOTIENT(N23,$AD$6)-QUOTIENT(N22,$AD$6))*$AA$9)*IF($K$1="是",IF(MOD(N23,360)&lt;=20,1.3,1),1)*(1+$K$3/100))</f>
        <v>19633.94</v>
      </c>
      <c r="P23" s="82">
        <f>P22+(((QUOTIENT(N23,3)-QUOTIENT(N22,3))*(MIN(ROUND(M23*$AA$6,0),5)*$AA$12+$AA$13)+(QUOTIENT(N23,$AD$6)-QUOTIENT(N22,$AD$6))*(MIN(ROUND((M23+1)*$AA$6,0),5)*$AA$4+$AA$11)+IF(ROUND((M23+1)*$AA$6,0)&gt;5,$AA$6*$AA$10,0))*IF($K$1="是",IF(MOD(N23,360)&lt;=20,1.3,1),1)*(1+$K$3/100))</f>
        <v>26678.82</v>
      </c>
      <c r="R23" s="89" t="s">
        <v>160</v>
      </c>
      <c r="S23" s="89"/>
      <c r="T23" s="89"/>
      <c r="U23" s="89"/>
      <c r="V23" s="89"/>
      <c r="W23" s="89"/>
      <c r="Y23" t="s">
        <v>161</v>
      </c>
      <c r="Z23" t="s">
        <v>162</v>
      </c>
    </row>
    <row r="24" spans="1:31">
      <c r="A24" s="52">
        <f t="shared" si="0"/>
        <v>19</v>
      </c>
      <c r="B24" s="53">
        <f>$C$1*((ROW(B24)-5)+(QUOTIENT(COLUMN(B24),4)*25))</f>
        <v>34.2</v>
      </c>
      <c r="C24" s="54">
        <f t="shared" si="2"/>
        <v>3970.88</v>
      </c>
      <c r="D24" s="55">
        <f t="shared" si="3"/>
        <v>4595.913</v>
      </c>
      <c r="E24" s="56">
        <f t="shared" si="1"/>
        <v>44</v>
      </c>
      <c r="F24" s="53">
        <f>$C$1*((ROW(F24)-5)+(QUOTIENT(COLUMN(F24),4)*25))</f>
        <v>79.2</v>
      </c>
      <c r="G24" s="54">
        <f>G23+((ROUND(1*$AA$7*$AA$8,1)+(QUOTIENT(F24,$AD$6)-QUOTIENT(F23,$AD$6))*$AA$9)*IF($K$1="是",IF(MOD(F24,360)&lt;=20,1.3,1),1)*(1+$K$3/100))</f>
        <v>9062.225</v>
      </c>
      <c r="H24" s="55">
        <f t="shared" si="4"/>
        <v>11778.123</v>
      </c>
      <c r="I24" s="56">
        <v>69</v>
      </c>
      <c r="J24" s="53">
        <f>$C$1*((ROW(J24)-5)+(QUOTIENT(COLUMN(J24),4)*25))</f>
        <v>124.2</v>
      </c>
      <c r="K24" s="54">
        <f>K23+((ROUND(1*$AA$7*$AA$8,1)+(QUOTIENT(J24,$AD$6)-QUOTIENT(J23,$AD$6))*$AA$9)*IF($K$1="是",IF(MOD(J24,360)&lt;=20,1.3,1),1)*(1+$K$3/100))</f>
        <v>14664.5</v>
      </c>
      <c r="L24" s="55">
        <f>L23+(((QUOTIENT(J24,3)-QUOTIENT(J23,3))*(MIN(ROUND(I24*$AA$6,0),5)*$AA$12+$AA$13)+(QUOTIENT(J24,$AD$6)-QUOTIENT(J23,$AD$6))*(MIN(ROUND((I24+1)*$AA$6,0),5)*$AA$4+$AA$11)+IF(ROUND((I24+1)*$AA$6,0)&gt;5,$AA$6*$AA$10,0))*IF($K$1="是",IF(MOD(J24,360)&lt;=20,1.3,1),1)*(1+$K$3/100))</f>
        <v>19753.398</v>
      </c>
      <c r="M24" s="56">
        <v>94</v>
      </c>
      <c r="N24" s="53">
        <f>$C$1*((ROW(N24)-5)+(QUOTIENT(COLUMN(N24),4)*25))</f>
        <v>169.2</v>
      </c>
      <c r="O24" s="54">
        <f>O23+((ROUND(1*$AA$7*$AA$8,1)+(QUOTIENT(N24,$AD$6)-QUOTIENT(N23,$AD$6))*$AA$9)*IF($K$1="是",IF(MOD(N24,360)&lt;=20,1.3,1),1)*(1+$K$3/100))</f>
        <v>19755.845</v>
      </c>
      <c r="P24" s="82">
        <f>P23+(((QUOTIENT(N24,3)-QUOTIENT(N23,3))*(MIN(ROUND(M24*$AA$6,0),5)*$AA$12+$AA$13)+(QUOTIENT(N24,$AD$6)-QUOTIENT(N23,$AD$6))*(MIN(ROUND((M24+1)*$AA$6,0),5)*$AA$4+$AA$11)+IF(ROUND((M24+1)*$AA$6,0)&gt;5,$AA$6*$AA$10,0))*IF($K$1="是",IF(MOD(N24,360)&lt;=20,1.3,1),1)*(1+$K$3/100))</f>
        <v>26935.608</v>
      </c>
      <c r="R24" s="89" t="s">
        <v>163</v>
      </c>
      <c r="S24" s="89"/>
      <c r="T24" s="89"/>
      <c r="U24" s="89"/>
      <c r="V24" s="89"/>
      <c r="W24" s="89"/>
      <c r="Y24" t="s">
        <v>164</v>
      </c>
      <c r="Z24" t="s">
        <v>165</v>
      </c>
      <c r="AC24" s="92"/>
      <c r="AE24" s="93"/>
    </row>
    <row r="25" spans="1:31">
      <c r="A25" s="52">
        <f t="shared" si="0"/>
        <v>20</v>
      </c>
      <c r="B25" s="53">
        <f>$C$1*((ROW(B25)-5)+(QUOTIENT(COLUMN(B25),4)*25))</f>
        <v>36</v>
      </c>
      <c r="C25" s="54">
        <f t="shared" si="2"/>
        <v>4092.785</v>
      </c>
      <c r="D25" s="55">
        <f t="shared" si="3"/>
        <v>4852.701</v>
      </c>
      <c r="E25" s="56">
        <f t="shared" si="1"/>
        <v>45</v>
      </c>
      <c r="F25" s="53">
        <f>$C$1*((ROW(F25)-5)+(QUOTIENT(COLUMN(F25),4)*25))</f>
        <v>81</v>
      </c>
      <c r="G25" s="54">
        <f>G24+((ROUND(1*$AA$7*$AA$8,1)+(QUOTIENT(F25,$AD$6)-QUOTIENT(F24,$AD$6))*$AA$9)*IF($K$1="是",IF(MOD(F25,360)&lt;=20,1.3,1),1)*(1+$K$3/100))</f>
        <v>9695.06</v>
      </c>
      <c r="H25" s="55">
        <f t="shared" si="4"/>
        <v>12827.976</v>
      </c>
      <c r="I25" s="56">
        <v>70</v>
      </c>
      <c r="J25" s="53">
        <f>$C$1*((ROW(J25)-5)+(QUOTIENT(COLUMN(J25),4)*25))</f>
        <v>126</v>
      </c>
      <c r="K25" s="54">
        <f>K24+((ROUND(1*$AA$7*$AA$8,1)+(QUOTIENT(J25,$AD$6)-QUOTIENT(J24,$AD$6))*$AA$9)*IF($K$1="是",IF(MOD(J25,360)&lt;=20,1.3,1),1)*(1+$K$3/100))</f>
        <v>14786.405</v>
      </c>
      <c r="L25" s="55">
        <f>L24+(((QUOTIENT(J25,3)-QUOTIENT(J24,3))*(MIN(ROUND(I25*$AA$6,0),5)*$AA$12+$AA$13)+(QUOTIENT(J25,$AD$6)-QUOTIENT(J24,$AD$6))*(MIN(ROUND((I25+1)*$AA$6,0),5)*$AA$4+$AA$11)+IF(ROUND((I25+1)*$AA$6,0)&gt;5,$AA$6*$AA$10,0))*IF($K$1="是",IF(MOD(J25,360)&lt;=20,1.3,1),1)*(1+$K$3/100))</f>
        <v>20010.186</v>
      </c>
      <c r="M25" s="56">
        <v>95</v>
      </c>
      <c r="N25" s="53">
        <f>$C$1*((ROW(N25)-5)+(QUOTIENT(COLUMN(N25),4)*25))</f>
        <v>171</v>
      </c>
      <c r="O25" s="54">
        <f>O24+((ROUND(1*$AA$7*$AA$8,1)+(QUOTIENT(N25,$AD$6)-QUOTIENT(N24,$AD$6))*$AA$9)*IF($K$1="是",IF(MOD(N25,360)&lt;=20,1.3,1),1)*(1+$K$3/100))</f>
        <v>20388.68</v>
      </c>
      <c r="P25" s="82">
        <f>P24+(((QUOTIENT(N25,3)-QUOTIENT(N24,3))*(MIN(ROUND(M25*$AA$6,0),5)*$AA$12+$AA$13)+(QUOTIENT(N25,$AD$6)-QUOTIENT(N24,$AD$6))*(MIN(ROUND((M25+1)*$AA$6,0),5)*$AA$4+$AA$11)+IF(ROUND((M25+1)*$AA$6,0)&gt;5,$AA$6*$AA$10,0))*IF($K$1="是",IF(MOD(N25,360)&lt;=20,1.3,1),1)*(1+$K$3/100))</f>
        <v>27985.461</v>
      </c>
      <c r="R25" s="89" t="s">
        <v>166</v>
      </c>
      <c r="S25" s="89"/>
      <c r="T25" s="89"/>
      <c r="U25" s="89"/>
      <c r="V25" s="89"/>
      <c r="W25" s="89"/>
      <c r="Y25" t="s">
        <v>81</v>
      </c>
      <c r="Z25" t="s">
        <v>167</v>
      </c>
      <c r="AC25" s="92"/>
      <c r="AE25" s="93"/>
    </row>
    <row r="26" spans="1:31">
      <c r="A26" s="52">
        <f t="shared" si="0"/>
        <v>21</v>
      </c>
      <c r="B26" s="53">
        <f>$C$1*((ROW(B26)-5)+(QUOTIENT(COLUMN(B26),4)*25))</f>
        <v>37.8</v>
      </c>
      <c r="C26" s="54">
        <f t="shared" si="2"/>
        <v>4214.69</v>
      </c>
      <c r="D26" s="55">
        <f t="shared" si="3"/>
        <v>4868.514</v>
      </c>
      <c r="E26" s="56">
        <f t="shared" si="1"/>
        <v>46</v>
      </c>
      <c r="F26" s="53">
        <f>$C$1*((ROW(F26)-5)+(QUOTIENT(COLUMN(F26),4)*25))</f>
        <v>82.8</v>
      </c>
      <c r="G26" s="54">
        <f>G25+((ROUND(1*$AA$7*$AA$8,1)+(QUOTIENT(F26,$AD$6)-QUOTIENT(F25,$AD$6))*$AA$9)*IF($K$1="是",IF(MOD(F26,360)&lt;=20,1.3,1),1)*(1+$K$3/100))</f>
        <v>9816.965</v>
      </c>
      <c r="H26" s="55">
        <f t="shared" si="4"/>
        <v>12843.789</v>
      </c>
      <c r="I26" s="56">
        <v>71</v>
      </c>
      <c r="J26" s="53">
        <f>$C$1*((ROW(J26)-5)+(QUOTIENT(COLUMN(J26),4)*25))</f>
        <v>127.8</v>
      </c>
      <c r="K26" s="54">
        <f>K25+((ROUND(1*$AA$7*$AA$8,1)+(QUOTIENT(J26,$AD$6)-QUOTIENT(J25,$AD$6))*$AA$9)*IF($K$1="是",IF(MOD(J26,360)&lt;=20,1.3,1),1)*(1+$K$3/100))</f>
        <v>14908.31</v>
      </c>
      <c r="L26" s="55">
        <f>L25+(((QUOTIENT(J26,3)-QUOTIENT(J25,3))*(MIN(ROUND(I26*$AA$6,0),5)*$AA$12+$AA$13)+(QUOTIENT(J26,$AD$6)-QUOTIENT(J25,$AD$6))*(MIN(ROUND((I26+1)*$AA$6,0),5)*$AA$4+$AA$11)+IF(ROUND((I26+1)*$AA$6,0)&gt;5,$AA$6*$AA$10,0))*IF($K$1="是",IF(MOD(J26,360)&lt;=20,1.3,1),1)*(1+$K$3/100))</f>
        <v>20025.999</v>
      </c>
      <c r="M26" s="56">
        <v>96</v>
      </c>
      <c r="N26" s="53">
        <f>$C$1*((ROW(N26)-5)+(QUOTIENT(COLUMN(N26),4)*25))</f>
        <v>172.8</v>
      </c>
      <c r="O26" s="54">
        <f>O25+((ROUND(1*$AA$7*$AA$8,1)+(QUOTIENT(N26,$AD$6)-QUOTIENT(N25,$AD$6))*$AA$9)*IF($K$1="是",IF(MOD(N26,360)&lt;=20,1.3,1),1)*(1+$K$3/100))</f>
        <v>20510.585</v>
      </c>
      <c r="P26" s="82">
        <f>P25+(((QUOTIENT(N26,3)-QUOTIENT(N25,3))*(MIN(ROUND(M26*$AA$6,0),5)*$AA$12+$AA$13)+(QUOTIENT(N26,$AD$6)-QUOTIENT(N25,$AD$6))*(MIN(ROUND((M26+1)*$AA$6,0),5)*$AA$4+$AA$11)+IF(ROUND((M26+1)*$AA$6,0)&gt;5,$AA$6*$AA$10,0))*IF($K$1="是",IF(MOD(N26,360)&lt;=20,1.3,1),1)*(1+$K$3/100))</f>
        <v>28001.274</v>
      </c>
      <c r="R26" s="89"/>
      <c r="S26" s="89"/>
      <c r="T26" s="89" t="s">
        <v>60</v>
      </c>
      <c r="U26" s="89">
        <f>MIN(ROUND((A11+1)*$AA$6,0),5)</f>
        <v>4</v>
      </c>
      <c r="V26" s="89"/>
      <c r="W26" s="89"/>
      <c r="AC26" s="92"/>
      <c r="AE26" s="93"/>
    </row>
    <row r="27" spans="1:31">
      <c r="A27" s="52">
        <f t="shared" si="0"/>
        <v>22</v>
      </c>
      <c r="B27" s="53">
        <f>$C$1*((ROW(B27)-5)+(QUOTIENT(COLUMN(B27),4)*25))</f>
        <v>39.6</v>
      </c>
      <c r="C27" s="54">
        <f t="shared" si="2"/>
        <v>4336.595</v>
      </c>
      <c r="D27" s="55">
        <f t="shared" si="3"/>
        <v>5125.302</v>
      </c>
      <c r="E27" s="56">
        <f t="shared" si="1"/>
        <v>47</v>
      </c>
      <c r="F27" s="53">
        <f>$C$1*((ROW(F27)-5)+(QUOTIENT(COLUMN(F27),4)*25))</f>
        <v>84.6</v>
      </c>
      <c r="G27" s="54">
        <f>G26+((ROUND(1*$AA$7*$AA$8,1)+(QUOTIENT(F27,$AD$6)-QUOTIENT(F26,$AD$6))*$AA$9)*IF($K$1="是",IF(MOD(F27,360)&lt;=20,1.3,1),1)*(1+$K$3/100))</f>
        <v>9938.87</v>
      </c>
      <c r="H27" s="55">
        <f t="shared" si="4"/>
        <v>13100.577</v>
      </c>
      <c r="I27" s="56">
        <v>72</v>
      </c>
      <c r="J27" s="53">
        <f>$C$1*((ROW(J27)-5)+(QUOTIENT(COLUMN(J27),4)*25))</f>
        <v>129.6</v>
      </c>
      <c r="K27" s="54">
        <f>K26+((ROUND(1*$AA$7*$AA$8,1)+(QUOTIENT(J27,$AD$6)-QUOTIENT(J26,$AD$6))*$AA$9)*IF($K$1="是",IF(MOD(J27,360)&lt;=20,1.3,1),1)*(1+$K$3/100))</f>
        <v>15030.215</v>
      </c>
      <c r="L27" s="55">
        <f>L26+(((QUOTIENT(J27,3)-QUOTIENT(J26,3))*(MIN(ROUND(I27*$AA$6,0),5)*$AA$12+$AA$13)+(QUOTIENT(J27,$AD$6)-QUOTIENT(J26,$AD$6))*(MIN(ROUND((I27+1)*$AA$6,0),5)*$AA$4+$AA$11)+IF(ROUND((I27+1)*$AA$6,0)&gt;5,$AA$6*$AA$10,0))*IF($K$1="是",IF(MOD(J27,360)&lt;=20,1.3,1),1)*(1+$K$3/100))</f>
        <v>20282.787</v>
      </c>
      <c r="M27" s="56">
        <v>97</v>
      </c>
      <c r="N27" s="53">
        <f>$C$1*((ROW(N27)-5)+(QUOTIENT(COLUMN(N27),4)*25))</f>
        <v>174.6</v>
      </c>
      <c r="O27" s="54">
        <f>O26+((ROUND(1*$AA$7*$AA$8,1)+(QUOTIENT(N27,$AD$6)-QUOTIENT(N26,$AD$6))*$AA$9)*IF($K$1="是",IF(MOD(N27,360)&lt;=20,1.3,1),1)*(1+$K$3/100))</f>
        <v>20632.49</v>
      </c>
      <c r="P27" s="82">
        <f>P26+(((QUOTIENT(N27,3)-QUOTIENT(N26,3))*(MIN(ROUND(M27*$AA$6,0),5)*$AA$12+$AA$13)+(QUOTIENT(N27,$AD$6)-QUOTIENT(N26,$AD$6))*(MIN(ROUND((M27+1)*$AA$6,0),5)*$AA$4+$AA$11)+IF(ROUND((M27+1)*$AA$6,0)&gt;5,$AA$6*$AA$10,0))*IF($K$1="是",IF(MOD(N27,360)&lt;=20,1.3,1),1)*(1+$K$3/100))</f>
        <v>28258.062</v>
      </c>
      <c r="R27" s="89"/>
      <c r="S27" s="89"/>
      <c r="T27" s="89" t="s">
        <v>61</v>
      </c>
      <c r="U27" s="89">
        <f>QUOTIENT(B8,2)</f>
        <v>2</v>
      </c>
      <c r="V27" s="89"/>
      <c r="W27" s="89"/>
      <c r="AC27" s="92"/>
      <c r="AD27" s="93"/>
      <c r="AE27" s="93"/>
    </row>
    <row r="28" spans="1:31">
      <c r="A28" s="52">
        <f t="shared" si="0"/>
        <v>23</v>
      </c>
      <c r="B28" s="53">
        <f>$C$1*((ROW(B28)-5)+(QUOTIENT(COLUMN(B28),4)*25))</f>
        <v>41.4</v>
      </c>
      <c r="C28" s="54">
        <f t="shared" si="2"/>
        <v>4969.43</v>
      </c>
      <c r="D28" s="55">
        <f t="shared" si="3"/>
        <v>5934.18</v>
      </c>
      <c r="E28" s="56">
        <f t="shared" si="1"/>
        <v>48</v>
      </c>
      <c r="F28" s="53">
        <f>$C$1*((ROW(F28)-5)+(QUOTIENT(COLUMN(F28),4)*25))</f>
        <v>86.4</v>
      </c>
      <c r="G28" s="54">
        <f>G27+((ROUND(1*$AA$7*$AA$8,1)+(QUOTIENT(F28,$AD$6)-QUOTIENT(F27,$AD$6))*$AA$9)*IF($K$1="是",IF(MOD(F28,360)&lt;=20,1.3,1),1)*(1+$K$3/100))</f>
        <v>10060.775</v>
      </c>
      <c r="H28" s="55">
        <f t="shared" si="4"/>
        <v>13116.39</v>
      </c>
      <c r="I28" s="56">
        <v>73</v>
      </c>
      <c r="J28" s="53">
        <f>$C$1*((ROW(J28)-5)+(QUOTIENT(COLUMN(J28),4)*25))</f>
        <v>131.4</v>
      </c>
      <c r="K28" s="54">
        <f>K27+((ROUND(1*$AA$7*$AA$8,1)+(QUOTIENT(J28,$AD$6)-QUOTIENT(J27,$AD$6))*$AA$9)*IF($K$1="是",IF(MOD(J28,360)&lt;=20,1.3,1),1)*(1+$K$3/100))</f>
        <v>15663.05</v>
      </c>
      <c r="L28" s="55">
        <f>L27+(((QUOTIENT(J28,3)-QUOTIENT(J27,3))*(MIN(ROUND(I28*$AA$6,0),5)*$AA$12+$AA$13)+(QUOTIENT(J28,$AD$6)-QUOTIENT(J27,$AD$6))*(MIN(ROUND((I28+1)*$AA$6,0),5)*$AA$4+$AA$11)+IF(ROUND((I28+1)*$AA$6,0)&gt;5,$AA$6*$AA$10,0))*IF($K$1="是",IF(MOD(J28,360)&lt;=20,1.3,1),1)*(1+$K$3/100))</f>
        <v>21091.665</v>
      </c>
      <c r="M28" s="56">
        <v>98</v>
      </c>
      <c r="N28" s="53">
        <f>$C$1*((ROW(N28)-5)+(QUOTIENT(COLUMN(N28),4)*25))</f>
        <v>176.4</v>
      </c>
      <c r="O28" s="54">
        <f>O27+((ROUND(1*$AA$7*$AA$8,1)+(QUOTIENT(N28,$AD$6)-QUOTIENT(N27,$AD$6))*$AA$9)*IF($K$1="是",IF(MOD(N28,360)&lt;=20,1.3,1),1)*(1+$K$3/100))</f>
        <v>20754.395</v>
      </c>
      <c r="P28" s="82">
        <f>P27+(((QUOTIENT(N28,3)-QUOTIENT(N27,3))*(MIN(ROUND(M28*$AA$6,0),5)*$AA$12+$AA$13)+(QUOTIENT(N28,$AD$6)-QUOTIENT(N27,$AD$6))*(MIN(ROUND((M28+1)*$AA$6,0),5)*$AA$4+$AA$11)+IF(ROUND((M28+1)*$AA$6,0)&gt;5,$AA$6*$AA$10,0))*IF($K$1="是",IF(MOD(N28,360)&lt;=20,1.3,1),1)*(1+$K$3/100))</f>
        <v>28273.875</v>
      </c>
      <c r="R28" s="89"/>
      <c r="S28" s="89"/>
      <c r="T28" s="89"/>
      <c r="U28" s="89"/>
      <c r="V28" s="89"/>
      <c r="W28" s="89"/>
      <c r="AC28" s="92"/>
      <c r="AD28" s="93"/>
      <c r="AE28" s="93"/>
    </row>
    <row r="29" spans="1:33">
      <c r="A29" s="52">
        <f t="shared" si="0"/>
        <v>24</v>
      </c>
      <c r="B29" s="53">
        <f>$C$1*((ROW(B29)-5)+(QUOTIENT(COLUMN(B29),4)*25))</f>
        <v>43.2</v>
      </c>
      <c r="C29" s="54">
        <f t="shared" si="2"/>
        <v>5091.335</v>
      </c>
      <c r="D29" s="55">
        <f t="shared" si="3"/>
        <v>6190.968</v>
      </c>
      <c r="E29" s="56">
        <f t="shared" si="1"/>
        <v>49</v>
      </c>
      <c r="F29" s="53">
        <f>$C$1*((ROW(F29)-5)+(QUOTIENT(COLUMN(F29),4)*25))</f>
        <v>88.2</v>
      </c>
      <c r="G29" s="54">
        <f>G28+((ROUND(1*$AA$7*$AA$8,1)+(QUOTIENT(F29,$AD$6)-QUOTIENT(F28,$AD$6))*$AA$9)*IF($K$1="是",IF(MOD(F29,360)&lt;=20,1.3,1),1)*(1+$K$3/100))</f>
        <v>10182.68</v>
      </c>
      <c r="H29" s="55">
        <f t="shared" si="4"/>
        <v>13373.178</v>
      </c>
      <c r="I29" s="56">
        <v>74</v>
      </c>
      <c r="J29" s="53">
        <f>$C$1*((ROW(J29)-5)+(QUOTIENT(COLUMN(J29),4)*25))</f>
        <v>133.2</v>
      </c>
      <c r="K29" s="54">
        <f>K28+((ROUND(1*$AA$7*$AA$8,1)+(QUOTIENT(J29,$AD$6)-QUOTIENT(J28,$AD$6))*$AA$9)*IF($K$1="是",IF(MOD(J29,360)&lt;=20,1.3,1),1)*(1+$K$3/100))</f>
        <v>15784.955</v>
      </c>
      <c r="L29" s="55">
        <f>L28+(((QUOTIENT(J29,3)-QUOTIENT(J28,3))*(MIN(ROUND(I29*$AA$6,0),5)*$AA$12+$AA$13)+(QUOTIENT(J29,$AD$6)-QUOTIENT(J28,$AD$6))*(MIN(ROUND((I29+1)*$AA$6,0),5)*$AA$4+$AA$11)+IF(ROUND((I29+1)*$AA$6,0)&gt;5,$AA$6*$AA$10,0))*IF($K$1="是",IF(MOD(J29,360)&lt;=20,1.3,1),1)*(1+$K$3/100))</f>
        <v>21348.453</v>
      </c>
      <c r="M29" s="56">
        <v>99</v>
      </c>
      <c r="N29" s="53">
        <f>$C$1*((ROW(N29)-5)+(QUOTIENT(COLUMN(N29),4)*25))</f>
        <v>178.2</v>
      </c>
      <c r="O29" s="54">
        <f>O28+((ROUND(1*$AA$7*$AA$8,1)+(QUOTIENT(N29,$AD$6)-QUOTIENT(N28,$AD$6))*$AA$9)*IF($K$1="是",IF(MOD(N29,360)&lt;=20,1.3,1),1)*(1+$K$3/100))</f>
        <v>20876.3</v>
      </c>
      <c r="P29" s="82">
        <f>P28+(((QUOTIENT(N29,3)-QUOTIENT(N28,3))*(MIN(ROUND(M29*$AA$6,0),5)*$AA$12+$AA$13)+(QUOTIENT(N29,$AD$6)-QUOTIENT(N28,$AD$6))*(MIN(ROUND((M29+1)*$AA$6,0),5)*$AA$4+$AA$11)+IF(ROUND((M29+1)*$AA$6,0)&gt;5,$AA$6*$AA$10,0))*IF($K$1="是",IF(MOD(N29,360)&lt;=20,1.3,1),1)*(1+$K$3/100))</f>
        <v>28530.663</v>
      </c>
      <c r="R29" s="89"/>
      <c r="S29" s="89"/>
      <c r="T29" s="89" t="s">
        <v>62</v>
      </c>
      <c r="U29" s="89"/>
      <c r="V29" s="89">
        <f>QUOTIENT(B10,2)</f>
        <v>4</v>
      </c>
      <c r="W29" s="89"/>
      <c r="Y29" t="s">
        <v>168</v>
      </c>
      <c r="Z29" s="12" t="s">
        <v>169</v>
      </c>
      <c r="AA29" s="12"/>
      <c r="AB29" s="12"/>
      <c r="AC29" s="12"/>
      <c r="AD29" s="12" t="s">
        <v>170</v>
      </c>
      <c r="AE29" s="12"/>
      <c r="AF29" s="12"/>
      <c r="AG29" s="12"/>
    </row>
    <row r="30" ht="15.15" spans="1:33">
      <c r="A30" s="57">
        <f t="shared" si="0"/>
        <v>25</v>
      </c>
      <c r="B30" s="58">
        <f>$C$1*((ROW(B30)-5)+(QUOTIENT(COLUMN(B30),4)*25))</f>
        <v>45</v>
      </c>
      <c r="C30" s="59">
        <f t="shared" si="2"/>
        <v>5213.24</v>
      </c>
      <c r="D30" s="60">
        <f t="shared" si="3"/>
        <v>6447.756</v>
      </c>
      <c r="E30" s="61">
        <f t="shared" si="1"/>
        <v>50</v>
      </c>
      <c r="F30" s="58">
        <f>$C$1*((ROW(F30)-5)+(QUOTIENT(COLUMN(F30),4)*25))</f>
        <v>90</v>
      </c>
      <c r="G30" s="59">
        <f>G29+((ROUND(1*$AA$7*$AA$8,1)+(QUOTIENT(F30,$AD$6)-QUOTIENT(F29,$AD$6))*$AA$9)*IF($K$1="是",IF(MOD(F30,360)&lt;=20,1.3,1),1)*(1+$K$3/100))</f>
        <v>10815.515</v>
      </c>
      <c r="H30" s="60">
        <f t="shared" si="4"/>
        <v>14423.031</v>
      </c>
      <c r="I30" s="61">
        <v>75</v>
      </c>
      <c r="J30" s="58">
        <f>$C$1*((ROW(J30)-5)+(QUOTIENT(COLUMN(J30),4)*25))</f>
        <v>135</v>
      </c>
      <c r="K30" s="59">
        <f>K29+((ROUND(1*$AA$7*$AA$8,1)+(QUOTIENT(J30,$AD$6)-QUOTIENT(J29,$AD$6))*$AA$9)*IF($K$1="是",IF(MOD(J30,360)&lt;=20,1.3,1),1)*(1+$K$3/100))</f>
        <v>15906.86</v>
      </c>
      <c r="L30" s="60">
        <f>L29+(((QUOTIENT(J30,3)-QUOTIENT(J29,3))*(MIN(ROUND(I30*$AA$6,0),5)*$AA$12+$AA$13)+(QUOTIENT(J30,$AD$6)-QUOTIENT(J29,$AD$6))*(MIN(ROUND((I30+1)*$AA$6,0),5)*$AA$4+$AA$11)+IF(ROUND((I30+1)*$AA$6,0)&gt;5,$AA$6*$AA$10,0))*IF($K$1="是",IF(MOD(J30,360)&lt;=20,1.3,1),1)*(1+$K$3/100))</f>
        <v>21605.241</v>
      </c>
      <c r="M30" s="61">
        <v>100</v>
      </c>
      <c r="N30" s="58">
        <f>$C$1*((ROW(N30)-5)+(QUOTIENT(COLUMN(N30),4)*25))</f>
        <v>180</v>
      </c>
      <c r="O30" s="59">
        <f>O29+((ROUND(1*$AA$7*$AA$8,1)+(QUOTIENT(N30,$AD$6)-QUOTIENT(N29,$AD$6))*$AA$9)*IF($K$1="是",IF(MOD(N30,360)&lt;=20,1.3,1),1)*(1+$K$3/100))</f>
        <v>21509.135</v>
      </c>
      <c r="P30" s="83">
        <f>P29+(((QUOTIENT(N30,3)-QUOTIENT(N29,3))*(MIN(ROUND(M30*$AA$6,0),5)*$AA$12+$AA$13)+(QUOTIENT(N30,$AD$6)-QUOTIENT(N29,$AD$6))*(MIN(ROUND((M30+1)*$AA$6,0),5)*$AA$4+$AA$11)+IF(ROUND((M30+1)*$AA$6,0)&gt;5,$AA$6*$AA$10,0))*IF($K$1="是",IF(MOD(N30,360)&lt;=20,1.3,1),1)*(1+$K$3/100))</f>
        <v>29580.516</v>
      </c>
      <c r="R30" s="89"/>
      <c r="S30" s="89"/>
      <c r="T30" s="89" t="s">
        <v>63</v>
      </c>
      <c r="U30" s="89"/>
      <c r="V30" s="89">
        <f>QUOTIENT(B11,2)</f>
        <v>5</v>
      </c>
      <c r="W30" s="89"/>
      <c r="Y30" t="s">
        <v>98</v>
      </c>
      <c r="Z30" s="12" t="s">
        <v>171</v>
      </c>
      <c r="AA30" s="12"/>
      <c r="AB30" s="12"/>
      <c r="AC30" s="12"/>
      <c r="AD30" s="12" t="s">
        <v>172</v>
      </c>
      <c r="AE30" s="12"/>
      <c r="AF30" s="12"/>
      <c r="AG30" s="12"/>
    </row>
    <row r="31" ht="15.15" spans="2:33">
      <c r="B31">
        <f>$C$31+$G$31+$K$31+$O$31</f>
        <v>12</v>
      </c>
      <c r="C31">
        <f>IF(D31&gt;0,MIN(D32:D56),0)</f>
        <v>12</v>
      </c>
      <c r="D31">
        <f>SUM(D32:D56)</f>
        <v>259</v>
      </c>
      <c r="G31">
        <f>IF(C31=0,IF(H31&gt;0,MIN(H32:H56),0),0)</f>
        <v>0</v>
      </c>
      <c r="H31">
        <f>SUM(H32:H56)</f>
        <v>950</v>
      </c>
      <c r="K31">
        <f>IF(G31+C31=0,IF(L31&gt;0,MIN(L32:L56),0),0)</f>
        <v>0</v>
      </c>
      <c r="L31">
        <f>SUM(L32:L56)</f>
        <v>1575</v>
      </c>
      <c r="O31">
        <f>IF(K31+G31+C31=0,IF(P31&gt;0,MIN(P32:P56),0),0)</f>
        <v>0</v>
      </c>
      <c r="P31">
        <f>SUM(P32:P56)</f>
        <v>2200</v>
      </c>
      <c r="R31" s="89"/>
      <c r="S31" s="89"/>
      <c r="T31" s="89" t="s">
        <v>64</v>
      </c>
      <c r="U31" s="89"/>
      <c r="V31" s="89">
        <f>(V30-V29)*(ROUND((A11+1)*AA6,0)*AA12+($AD$5*$AG$5)*(1+$K$3/100))</f>
        <v>195.8808</v>
      </c>
      <c r="W31" s="89"/>
      <c r="Y31" t="s">
        <v>101</v>
      </c>
      <c r="Z31" s="12" t="s">
        <v>173</v>
      </c>
      <c r="AA31" s="12"/>
      <c r="AB31" s="12"/>
      <c r="AC31" s="12"/>
      <c r="AD31" s="12" t="s">
        <v>174</v>
      </c>
      <c r="AE31" s="12"/>
      <c r="AF31" s="12"/>
      <c r="AG31" s="12"/>
    </row>
    <row r="32" spans="4:33">
      <c r="D32" s="23" t="str">
        <f t="shared" ref="D32:D56" si="5">IF(D6&gt;C6,A6,"")</f>
        <v/>
      </c>
      <c r="E32" s="23"/>
      <c r="F32" s="23"/>
      <c r="G32" s="23"/>
      <c r="H32" s="23">
        <f t="shared" ref="H32:H56" si="6">IF(H6&gt;G6,E6,"")</f>
        <v>26</v>
      </c>
      <c r="I32" s="23"/>
      <c r="J32" s="23"/>
      <c r="K32" s="23"/>
      <c r="L32" s="23">
        <f t="shared" ref="L32:L56" si="7">IF(L6&gt;K6,I6,"")</f>
        <v>51</v>
      </c>
      <c r="M32" s="23"/>
      <c r="N32" s="23"/>
      <c r="O32" s="23"/>
      <c r="P32" s="23">
        <f t="shared" ref="P32:P56" si="8">IF(P6&gt;O6,M6,"")</f>
        <v>76</v>
      </c>
      <c r="R32" s="89"/>
      <c r="S32" s="89"/>
      <c r="T32" s="89"/>
      <c r="U32" s="89"/>
      <c r="V32" s="89"/>
      <c r="W32" s="89"/>
      <c r="Y32" t="s">
        <v>161</v>
      </c>
      <c r="Z32" s="12" t="s">
        <v>175</v>
      </c>
      <c r="AA32" s="12"/>
      <c r="AB32" s="12"/>
      <c r="AC32" s="12"/>
      <c r="AD32" s="12" t="s">
        <v>176</v>
      </c>
      <c r="AE32" s="12"/>
      <c r="AF32" s="12"/>
      <c r="AG32" s="12"/>
    </row>
    <row r="33" spans="4:33">
      <c r="D33" s="23" t="str">
        <f t="shared" si="5"/>
        <v/>
      </c>
      <c r="E33" s="23"/>
      <c r="F33" s="23"/>
      <c r="G33" s="23"/>
      <c r="H33" s="23">
        <f t="shared" si="6"/>
        <v>27</v>
      </c>
      <c r="I33" s="23"/>
      <c r="J33" s="23"/>
      <c r="K33" s="23"/>
      <c r="L33" s="23">
        <f t="shared" si="7"/>
        <v>52</v>
      </c>
      <c r="M33" s="23"/>
      <c r="N33" s="23"/>
      <c r="O33" s="23"/>
      <c r="P33" s="23">
        <f t="shared" si="8"/>
        <v>77</v>
      </c>
      <c r="R33" s="89"/>
      <c r="S33" s="89"/>
      <c r="T33" s="89" t="s">
        <v>57</v>
      </c>
      <c r="U33" s="89"/>
      <c r="V33" s="89">
        <f>IF($K$1="是",IF(MOD(666,360)&lt;=20,1.3,1),1)</f>
        <v>1</v>
      </c>
      <c r="W33" s="89"/>
      <c r="Y33" t="s">
        <v>164</v>
      </c>
      <c r="Z33" s="12" t="s">
        <v>177</v>
      </c>
      <c r="AA33" s="12"/>
      <c r="AB33" s="12"/>
      <c r="AC33" s="12"/>
      <c r="AD33" s="12" t="s">
        <v>178</v>
      </c>
      <c r="AE33" s="12"/>
      <c r="AF33" s="12"/>
      <c r="AG33" s="12"/>
    </row>
    <row r="34" spans="4:33">
      <c r="D34" s="23" t="str">
        <f t="shared" si="5"/>
        <v/>
      </c>
      <c r="E34" s="23"/>
      <c r="F34" s="23"/>
      <c r="G34" s="23"/>
      <c r="H34" s="23">
        <f t="shared" si="6"/>
        <v>28</v>
      </c>
      <c r="I34" s="23"/>
      <c r="J34" s="23"/>
      <c r="K34" s="23"/>
      <c r="L34" s="23">
        <f t="shared" si="7"/>
        <v>53</v>
      </c>
      <c r="M34" s="23"/>
      <c r="N34" s="23"/>
      <c r="O34" s="23"/>
      <c r="P34" s="23">
        <f t="shared" si="8"/>
        <v>78</v>
      </c>
      <c r="R34" s="14"/>
      <c r="S34" s="14"/>
      <c r="T34" s="14" t="s">
        <v>58</v>
      </c>
      <c r="U34" s="14"/>
      <c r="V34" s="14">
        <f>ROUND((A7+1)*AA6,0)</f>
        <v>2</v>
      </c>
      <c r="W34" s="14"/>
      <c r="Y34" t="s">
        <v>81</v>
      </c>
      <c r="Z34" s="12" t="s">
        <v>114</v>
      </c>
      <c r="AA34" s="12"/>
      <c r="AB34" s="12"/>
      <c r="AC34" s="12"/>
      <c r="AD34" s="12" t="s">
        <v>179</v>
      </c>
      <c r="AE34" s="12"/>
      <c r="AF34" s="12"/>
      <c r="AG34" s="12"/>
    </row>
    <row r="35" spans="4:23">
      <c r="D35" s="23" t="str">
        <f t="shared" si="5"/>
        <v/>
      </c>
      <c r="E35" s="23"/>
      <c r="F35" s="23"/>
      <c r="G35" s="23"/>
      <c r="H35" s="23">
        <f t="shared" si="6"/>
        <v>29</v>
      </c>
      <c r="I35" s="23"/>
      <c r="J35" s="23"/>
      <c r="K35" s="23"/>
      <c r="L35" s="23">
        <f t="shared" si="7"/>
        <v>54</v>
      </c>
      <c r="M35" s="23"/>
      <c r="N35" s="23"/>
      <c r="O35" s="23"/>
      <c r="P35" s="23">
        <f t="shared" si="8"/>
        <v>79</v>
      </c>
      <c r="R35" s="14"/>
      <c r="S35" s="14"/>
      <c r="T35" s="14" t="s">
        <v>59</v>
      </c>
      <c r="U35" s="14"/>
      <c r="V35" s="14">
        <f>ROUND((A8+1)*AA6,0)</f>
        <v>2</v>
      </c>
      <c r="W35" s="14"/>
    </row>
    <row r="36" spans="4:23">
      <c r="D36" s="23" t="str">
        <f t="shared" si="5"/>
        <v/>
      </c>
      <c r="E36" s="23"/>
      <c r="F36" s="23"/>
      <c r="G36" s="23"/>
      <c r="H36" s="23">
        <f t="shared" si="6"/>
        <v>30</v>
      </c>
      <c r="I36" s="23"/>
      <c r="J36" s="23"/>
      <c r="K36" s="23"/>
      <c r="L36" s="23">
        <f t="shared" si="7"/>
        <v>55</v>
      </c>
      <c r="M36" s="23"/>
      <c r="N36" s="23"/>
      <c r="O36" s="23"/>
      <c r="P36" s="23">
        <f t="shared" si="8"/>
        <v>80</v>
      </c>
      <c r="R36" s="14"/>
      <c r="S36" s="14"/>
      <c r="T36" s="14"/>
      <c r="U36" s="14"/>
      <c r="V36" s="14"/>
      <c r="W36" s="14"/>
    </row>
    <row r="37" spans="4:31">
      <c r="D37" s="23" t="str">
        <f t="shared" si="5"/>
        <v/>
      </c>
      <c r="E37" s="23"/>
      <c r="F37" s="23"/>
      <c r="G37" s="23"/>
      <c r="H37" s="23">
        <f t="shared" si="6"/>
        <v>31</v>
      </c>
      <c r="I37" s="23"/>
      <c r="J37" s="23"/>
      <c r="K37" s="23"/>
      <c r="L37" s="23">
        <f t="shared" si="7"/>
        <v>56</v>
      </c>
      <c r="M37" s="23"/>
      <c r="N37" s="23"/>
      <c r="O37" s="23"/>
      <c r="P37" s="23">
        <f t="shared" si="8"/>
        <v>81</v>
      </c>
      <c r="R37" s="14"/>
      <c r="S37" s="14"/>
      <c r="T37" s="14"/>
      <c r="U37" s="14"/>
      <c r="V37" s="14"/>
      <c r="W37" s="14"/>
      <c r="AC37" s="92"/>
      <c r="AD37" s="93"/>
      <c r="AE37" s="93"/>
    </row>
    <row r="38" spans="4:31">
      <c r="D38" s="23" t="str">
        <f t="shared" si="5"/>
        <v/>
      </c>
      <c r="E38" s="23"/>
      <c r="F38" s="23"/>
      <c r="G38" s="23"/>
      <c r="H38" s="23">
        <f t="shared" si="6"/>
        <v>32</v>
      </c>
      <c r="I38" s="23"/>
      <c r="J38" s="23"/>
      <c r="K38" s="23"/>
      <c r="L38" s="23">
        <f t="shared" si="7"/>
        <v>57</v>
      </c>
      <c r="M38" s="23"/>
      <c r="N38" s="23"/>
      <c r="O38" s="23"/>
      <c r="P38" s="23">
        <f t="shared" si="8"/>
        <v>82</v>
      </c>
      <c r="AC38" s="92"/>
      <c r="AD38" s="93"/>
      <c r="AE38" s="93"/>
    </row>
    <row r="39" spans="4:30">
      <c r="D39" s="23" t="str">
        <f t="shared" si="5"/>
        <v/>
      </c>
      <c r="E39" s="23"/>
      <c r="F39" s="23"/>
      <c r="G39" s="23"/>
      <c r="H39" s="23">
        <f t="shared" si="6"/>
        <v>33</v>
      </c>
      <c r="I39" s="23"/>
      <c r="J39" s="23"/>
      <c r="K39" s="23"/>
      <c r="L39" s="23">
        <f t="shared" si="7"/>
        <v>58</v>
      </c>
      <c r="M39" s="23"/>
      <c r="N39" s="23"/>
      <c r="O39" s="23"/>
      <c r="P39" s="23">
        <f t="shared" si="8"/>
        <v>83</v>
      </c>
      <c r="AC39" s="92"/>
      <c r="AD39" s="93"/>
    </row>
    <row r="40" spans="4:31">
      <c r="D40" s="23" t="str">
        <f t="shared" si="5"/>
        <v/>
      </c>
      <c r="E40" s="23"/>
      <c r="F40" s="23"/>
      <c r="G40" s="23"/>
      <c r="H40" s="23">
        <f t="shared" si="6"/>
        <v>34</v>
      </c>
      <c r="I40" s="23"/>
      <c r="J40" s="23"/>
      <c r="K40" s="23"/>
      <c r="L40" s="23">
        <f t="shared" si="7"/>
        <v>59</v>
      </c>
      <c r="M40" s="23"/>
      <c r="N40" s="23"/>
      <c r="O40" s="23"/>
      <c r="P40" s="23">
        <f t="shared" si="8"/>
        <v>84</v>
      </c>
      <c r="AC40" s="92"/>
      <c r="AD40" s="93"/>
      <c r="AE40" s="93"/>
    </row>
    <row r="41" spans="4:31">
      <c r="D41" s="23" t="str">
        <f t="shared" si="5"/>
        <v/>
      </c>
      <c r="E41" s="23"/>
      <c r="F41" s="23"/>
      <c r="G41" s="23"/>
      <c r="H41" s="23">
        <f t="shared" si="6"/>
        <v>35</v>
      </c>
      <c r="I41" s="23"/>
      <c r="J41" s="23"/>
      <c r="K41" s="23"/>
      <c r="L41" s="23">
        <f t="shared" si="7"/>
        <v>60</v>
      </c>
      <c r="M41" s="23"/>
      <c r="N41" s="23"/>
      <c r="O41" s="23"/>
      <c r="P41" s="23">
        <f t="shared" si="8"/>
        <v>85</v>
      </c>
      <c r="AC41" s="92"/>
      <c r="AD41" s="93"/>
      <c r="AE41" s="93"/>
    </row>
    <row r="42" spans="4:31">
      <c r="D42" s="23" t="str">
        <f t="shared" si="5"/>
        <v/>
      </c>
      <c r="E42" s="23"/>
      <c r="F42" s="23"/>
      <c r="G42" s="23"/>
      <c r="H42" s="23">
        <f t="shared" si="6"/>
        <v>36</v>
      </c>
      <c r="I42" s="23"/>
      <c r="J42" s="23"/>
      <c r="K42" s="23"/>
      <c r="L42" s="23">
        <f t="shared" si="7"/>
        <v>61</v>
      </c>
      <c r="M42" s="23"/>
      <c r="N42" s="23"/>
      <c r="O42" s="23"/>
      <c r="P42" s="23">
        <f t="shared" si="8"/>
        <v>86</v>
      </c>
      <c r="AC42" s="92"/>
      <c r="AD42" s="93"/>
      <c r="AE42" s="93"/>
    </row>
    <row r="43" spans="4:31">
      <c r="D43" s="23">
        <f t="shared" si="5"/>
        <v>12</v>
      </c>
      <c r="E43" s="23"/>
      <c r="F43" s="23"/>
      <c r="G43" s="23"/>
      <c r="H43" s="23">
        <f t="shared" si="6"/>
        <v>37</v>
      </c>
      <c r="I43" s="23"/>
      <c r="J43" s="23"/>
      <c r="K43" s="23"/>
      <c r="L43" s="23">
        <f t="shared" si="7"/>
        <v>62</v>
      </c>
      <c r="M43" s="23"/>
      <c r="N43" s="23"/>
      <c r="O43" s="23"/>
      <c r="P43" s="23">
        <f t="shared" si="8"/>
        <v>87</v>
      </c>
      <c r="AC43" s="92"/>
      <c r="AD43" s="93"/>
      <c r="AE43" s="93"/>
    </row>
    <row r="44" spans="4:31">
      <c r="D44" s="23">
        <f t="shared" si="5"/>
        <v>13</v>
      </c>
      <c r="E44" s="23"/>
      <c r="F44" s="23"/>
      <c r="G44" s="23"/>
      <c r="H44" s="23">
        <f t="shared" si="6"/>
        <v>38</v>
      </c>
      <c r="I44" s="23"/>
      <c r="J44" s="23"/>
      <c r="K44" s="23"/>
      <c r="L44" s="23">
        <f t="shared" si="7"/>
        <v>63</v>
      </c>
      <c r="M44" s="23"/>
      <c r="N44" s="23"/>
      <c r="O44" s="23"/>
      <c r="P44" s="23">
        <f t="shared" si="8"/>
        <v>88</v>
      </c>
      <c r="AC44" s="92"/>
      <c r="AD44" s="93"/>
      <c r="AE44" s="93"/>
    </row>
    <row r="45" spans="4:29">
      <c r="D45" s="23">
        <f t="shared" si="5"/>
        <v>14</v>
      </c>
      <c r="E45" s="23"/>
      <c r="F45" s="23"/>
      <c r="G45" s="23"/>
      <c r="H45" s="23">
        <f t="shared" si="6"/>
        <v>39</v>
      </c>
      <c r="I45" s="23"/>
      <c r="J45" s="23"/>
      <c r="K45" s="23"/>
      <c r="L45" s="23">
        <f t="shared" si="7"/>
        <v>64</v>
      </c>
      <c r="M45" s="23"/>
      <c r="N45" s="23"/>
      <c r="O45" s="23"/>
      <c r="P45" s="23">
        <f t="shared" si="8"/>
        <v>89</v>
      </c>
      <c r="AC45" s="92"/>
    </row>
    <row r="46" spans="4:16">
      <c r="D46" s="23">
        <f t="shared" si="5"/>
        <v>15</v>
      </c>
      <c r="E46" s="23"/>
      <c r="F46" s="23"/>
      <c r="G46" s="23"/>
      <c r="H46" s="23">
        <f t="shared" si="6"/>
        <v>40</v>
      </c>
      <c r="I46" s="23"/>
      <c r="J46" s="23"/>
      <c r="K46" s="23"/>
      <c r="L46" s="23">
        <f t="shared" si="7"/>
        <v>65</v>
      </c>
      <c r="M46" s="23"/>
      <c r="N46" s="23"/>
      <c r="O46" s="23"/>
      <c r="P46" s="23">
        <f t="shared" si="8"/>
        <v>90</v>
      </c>
    </row>
    <row r="47" spans="4:31">
      <c r="D47" s="23">
        <f t="shared" si="5"/>
        <v>16</v>
      </c>
      <c r="E47" s="23"/>
      <c r="F47" s="23"/>
      <c r="G47" s="23"/>
      <c r="H47" s="23">
        <f t="shared" si="6"/>
        <v>41</v>
      </c>
      <c r="I47" s="23"/>
      <c r="J47" s="23"/>
      <c r="K47" s="23"/>
      <c r="L47" s="23">
        <f t="shared" si="7"/>
        <v>66</v>
      </c>
      <c r="M47" s="23"/>
      <c r="N47" s="23"/>
      <c r="O47" s="23"/>
      <c r="P47" s="23">
        <f t="shared" si="8"/>
        <v>91</v>
      </c>
      <c r="AC47" s="92"/>
      <c r="AD47" s="93"/>
      <c r="AE47" s="93"/>
    </row>
    <row r="48" spans="4:31">
      <c r="D48" s="23">
        <f t="shared" si="5"/>
        <v>17</v>
      </c>
      <c r="E48" s="23"/>
      <c r="F48" s="23"/>
      <c r="G48" s="23"/>
      <c r="H48" s="23">
        <f t="shared" si="6"/>
        <v>42</v>
      </c>
      <c r="I48" s="23"/>
      <c r="J48" s="23"/>
      <c r="K48" s="23"/>
      <c r="L48" s="23">
        <f t="shared" si="7"/>
        <v>67</v>
      </c>
      <c r="M48" s="23"/>
      <c r="N48" s="23"/>
      <c r="O48" s="23"/>
      <c r="P48" s="23">
        <f t="shared" si="8"/>
        <v>92</v>
      </c>
      <c r="AC48" s="92"/>
      <c r="AD48" s="93"/>
      <c r="AE48" s="93"/>
    </row>
    <row r="49" spans="4:31">
      <c r="D49" s="23">
        <f t="shared" si="5"/>
        <v>18</v>
      </c>
      <c r="E49" s="23"/>
      <c r="F49" s="23"/>
      <c r="G49" s="23"/>
      <c r="H49" s="23">
        <f t="shared" si="6"/>
        <v>43</v>
      </c>
      <c r="I49" s="23"/>
      <c r="J49" s="23"/>
      <c r="K49" s="23"/>
      <c r="L49" s="23">
        <f t="shared" si="7"/>
        <v>68</v>
      </c>
      <c r="M49" s="23"/>
      <c r="N49" s="23"/>
      <c r="O49" s="23"/>
      <c r="P49" s="23">
        <f t="shared" si="8"/>
        <v>93</v>
      </c>
      <c r="AC49" s="92"/>
      <c r="AD49" s="93"/>
      <c r="AE49" s="93"/>
    </row>
    <row r="50" spans="4:31">
      <c r="D50" s="23">
        <f t="shared" si="5"/>
        <v>19</v>
      </c>
      <c r="E50" s="23"/>
      <c r="F50" s="23"/>
      <c r="G50" s="23"/>
      <c r="H50" s="23">
        <f t="shared" si="6"/>
        <v>44</v>
      </c>
      <c r="I50" s="23"/>
      <c r="J50" s="23"/>
      <c r="K50" s="23"/>
      <c r="L50" s="23">
        <f t="shared" si="7"/>
        <v>69</v>
      </c>
      <c r="M50" s="23"/>
      <c r="N50" s="23"/>
      <c r="O50" s="23"/>
      <c r="P50" s="23">
        <f t="shared" si="8"/>
        <v>94</v>
      </c>
      <c r="AC50" s="92"/>
      <c r="AD50" s="93"/>
      <c r="AE50" s="93"/>
    </row>
    <row r="51" spans="4:31">
      <c r="D51" s="23">
        <f t="shared" si="5"/>
        <v>20</v>
      </c>
      <c r="E51" s="23"/>
      <c r="F51" s="23"/>
      <c r="G51" s="23"/>
      <c r="H51" s="23">
        <f t="shared" si="6"/>
        <v>45</v>
      </c>
      <c r="I51" s="23"/>
      <c r="J51" s="23"/>
      <c r="K51" s="23"/>
      <c r="L51" s="23">
        <f t="shared" si="7"/>
        <v>70</v>
      </c>
      <c r="M51" s="23"/>
      <c r="N51" s="23"/>
      <c r="O51" s="23"/>
      <c r="P51" s="23">
        <f t="shared" si="8"/>
        <v>95</v>
      </c>
      <c r="AC51" s="92"/>
      <c r="AD51" s="93"/>
      <c r="AE51" s="93"/>
    </row>
    <row r="52" spans="4:16">
      <c r="D52" s="23">
        <f t="shared" si="5"/>
        <v>21</v>
      </c>
      <c r="E52" s="23"/>
      <c r="F52" s="23"/>
      <c r="G52" s="23"/>
      <c r="H52" s="23">
        <f t="shared" si="6"/>
        <v>46</v>
      </c>
      <c r="I52" s="23"/>
      <c r="J52" s="23"/>
      <c r="K52" s="23"/>
      <c r="L52" s="23">
        <f t="shared" si="7"/>
        <v>71</v>
      </c>
      <c r="M52" s="23"/>
      <c r="N52" s="23"/>
      <c r="O52" s="23"/>
      <c r="P52" s="23">
        <f t="shared" si="8"/>
        <v>96</v>
      </c>
    </row>
    <row r="53" spans="4:16">
      <c r="D53" s="23">
        <f t="shared" si="5"/>
        <v>22</v>
      </c>
      <c r="E53" s="23"/>
      <c r="F53" s="23"/>
      <c r="G53" s="23"/>
      <c r="H53" s="23">
        <f t="shared" si="6"/>
        <v>47</v>
      </c>
      <c r="I53" s="23"/>
      <c r="J53" s="23"/>
      <c r="K53" s="23"/>
      <c r="L53" s="23">
        <f t="shared" si="7"/>
        <v>72</v>
      </c>
      <c r="M53" s="23"/>
      <c r="N53" s="23"/>
      <c r="O53" s="23"/>
      <c r="P53" s="23">
        <f t="shared" si="8"/>
        <v>97</v>
      </c>
    </row>
    <row r="54" spans="4:31">
      <c r="D54" s="23">
        <f t="shared" si="5"/>
        <v>23</v>
      </c>
      <c r="E54" s="23"/>
      <c r="F54" s="23"/>
      <c r="G54" s="23"/>
      <c r="H54" s="23">
        <f t="shared" si="6"/>
        <v>48</v>
      </c>
      <c r="I54" s="23"/>
      <c r="J54" s="23"/>
      <c r="K54" s="23"/>
      <c r="L54" s="23">
        <f t="shared" si="7"/>
        <v>73</v>
      </c>
      <c r="M54" s="23"/>
      <c r="N54" s="23"/>
      <c r="O54" s="23"/>
      <c r="P54" s="23">
        <f t="shared" si="8"/>
        <v>98</v>
      </c>
      <c r="AC54" s="92"/>
      <c r="AD54" s="93"/>
      <c r="AE54" s="93"/>
    </row>
    <row r="55" spans="4:31">
      <c r="D55" s="23">
        <f t="shared" si="5"/>
        <v>24</v>
      </c>
      <c r="E55" s="23"/>
      <c r="F55" s="23"/>
      <c r="G55" s="23"/>
      <c r="H55" s="23">
        <f t="shared" si="6"/>
        <v>49</v>
      </c>
      <c r="I55" s="23"/>
      <c r="J55" s="23"/>
      <c r="K55" s="23"/>
      <c r="L55" s="23">
        <f t="shared" si="7"/>
        <v>74</v>
      </c>
      <c r="M55" s="23"/>
      <c r="N55" s="23"/>
      <c r="O55" s="23"/>
      <c r="P55" s="23">
        <f t="shared" si="8"/>
        <v>99</v>
      </c>
      <c r="AC55" s="92"/>
      <c r="AD55" s="93"/>
      <c r="AE55" s="93"/>
    </row>
    <row r="56" spans="4:31">
      <c r="D56" s="23">
        <f t="shared" si="5"/>
        <v>25</v>
      </c>
      <c r="E56" s="23"/>
      <c r="F56" s="23"/>
      <c r="G56" s="23"/>
      <c r="H56" s="23">
        <f t="shared" si="6"/>
        <v>50</v>
      </c>
      <c r="I56" s="23"/>
      <c r="J56" s="23"/>
      <c r="K56" s="23"/>
      <c r="L56" s="23">
        <f t="shared" si="7"/>
        <v>75</v>
      </c>
      <c r="M56" s="23"/>
      <c r="N56" s="23"/>
      <c r="O56" s="23"/>
      <c r="P56" s="23">
        <f t="shared" si="8"/>
        <v>100</v>
      </c>
      <c r="AA56" s="94"/>
      <c r="AB56" s="94"/>
      <c r="AC56" s="95"/>
      <c r="AD56" s="96"/>
      <c r="AE56" s="96"/>
    </row>
    <row r="57" spans="29:31">
      <c r="AC57" s="92"/>
      <c r="AD57" s="93"/>
      <c r="AE57" s="93"/>
    </row>
    <row r="58" spans="29:31">
      <c r="AC58" s="92"/>
      <c r="AD58" s="93"/>
      <c r="AE58" s="93"/>
    </row>
    <row r="59" spans="29:31">
      <c r="AC59" s="92"/>
      <c r="AD59" s="93"/>
      <c r="AE59" s="93"/>
    </row>
  </sheetData>
  <mergeCells count="72">
    <mergeCell ref="A1:B1"/>
    <mergeCell ref="E1:F1"/>
    <mergeCell ref="I1:J1"/>
    <mergeCell ref="M1:N1"/>
    <mergeCell ref="Y1:Z1"/>
    <mergeCell ref="AB1:AC1"/>
    <mergeCell ref="AE1:AF1"/>
    <mergeCell ref="A2:B2"/>
    <mergeCell ref="E2:F2"/>
    <mergeCell ref="I2:J2"/>
    <mergeCell ref="M2:N2"/>
    <mergeCell ref="Y2:Z2"/>
    <mergeCell ref="AB2:AC2"/>
    <mergeCell ref="AE2:AF2"/>
    <mergeCell ref="A3:B3"/>
    <mergeCell ref="E3:F3"/>
    <mergeCell ref="I3:J3"/>
    <mergeCell ref="M3:N3"/>
    <mergeCell ref="Y3:Z3"/>
    <mergeCell ref="AB3:AC3"/>
    <mergeCell ref="AE3:AF3"/>
    <mergeCell ref="Y4:Z4"/>
    <mergeCell ref="AB4:AC4"/>
    <mergeCell ref="AE4:AF4"/>
    <mergeCell ref="Y5:Z5"/>
    <mergeCell ref="AB5:AC5"/>
    <mergeCell ref="AE5:AF5"/>
    <mergeCell ref="Y6:Z6"/>
    <mergeCell ref="AB6:AC6"/>
    <mergeCell ref="AE6:AF6"/>
    <mergeCell ref="Y7:Z7"/>
    <mergeCell ref="AB7:AC7"/>
    <mergeCell ref="AE7:AF7"/>
    <mergeCell ref="Y8:Z8"/>
    <mergeCell ref="AE8:AF8"/>
    <mergeCell ref="Y9:Z9"/>
    <mergeCell ref="Y10:Z10"/>
    <mergeCell ref="Y11:Z11"/>
    <mergeCell ref="Y12:Z12"/>
    <mergeCell ref="Y13:Z13"/>
    <mergeCell ref="Y14:Z14"/>
    <mergeCell ref="Z29:AC29"/>
    <mergeCell ref="AD29:AG29"/>
    <mergeCell ref="Z30:AC30"/>
    <mergeCell ref="AD30:AG30"/>
    <mergeCell ref="Z31:AC31"/>
    <mergeCell ref="AD31:AG31"/>
    <mergeCell ref="Z32:AC32"/>
    <mergeCell ref="AD32:AG32"/>
    <mergeCell ref="Z33:AC33"/>
    <mergeCell ref="AD33:AG33"/>
    <mergeCell ref="Z34:AC34"/>
    <mergeCell ref="AD34:AG3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S1:S3"/>
    <mergeCell ref="Q1:R3"/>
    <mergeCell ref="T1:U3"/>
  </mergeCells>
  <dataValidations count="9">
    <dataValidation type="decimal" operator="between" allowBlank="1" showInputMessage="1" showErrorMessage="1" sqref="B1">
      <formula1>0.1</formula1>
      <formula2>4</formula2>
    </dataValidation>
    <dataValidation type="list" allowBlank="1" showInputMessage="1" showErrorMessage="1" sqref="E3:F3">
      <formula1>"无,英雄灵气,英雄灵气,两种均有"</formula1>
    </dataValidation>
    <dataValidation type="list" allowBlank="1" showInputMessage="1" showErrorMessage="1" sqref="J2 K2">
      <formula1>"0,1,2"</formula1>
    </dataValidation>
    <dataValidation type="whole" operator="between" allowBlank="1" showInputMessage="1" showErrorMessage="1" sqref="B2">
      <formula1>0</formula1>
      <formula2>99999</formula2>
    </dataValidation>
    <dataValidation type="list" allowBlank="1" showInputMessage="1" showErrorMessage="1" sqref="H1 K1 M1 P1 H2 M2 H3 M3 P3">
      <formula1>"是,否"</formula1>
    </dataValidation>
    <dataValidation type="list" allowBlank="1" showInputMessage="1" showErrorMessage="1" sqref="P2">
      <formula1>"是"</formula1>
    </dataValidation>
    <dataValidation type="list" allowBlank="1" showInputMessage="1" showErrorMessage="1" sqref="B3">
      <formula1>"70,71,72,73,首领"</formula1>
    </dataValidation>
    <dataValidation type="list" allowBlank="1" showInputMessage="1" showErrorMessage="1" sqref="C3">
      <formula1>"70,71,72,首领"</formula1>
    </dataValidation>
    <dataValidation type="list" allowBlank="1" showInputMessage="1" showErrorMessage="1" sqref="K3">
      <formula1>"0,1,2,3,4,5"</formula1>
    </dataValidation>
  </dataValidations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8"/>
  <sheetViews>
    <sheetView zoomScale="115" zoomScaleNormal="115" workbookViewId="0">
      <selection activeCell="G46" sqref="G46"/>
    </sheetView>
  </sheetViews>
  <sheetFormatPr defaultColWidth="8.88888888888889" defaultRowHeight="14.4"/>
  <cols>
    <col min="1" max="1" width="11.4444444444444" customWidth="1"/>
    <col min="2" max="4" width="12.8888888888889"/>
    <col min="5" max="5" width="15.2222222222222" customWidth="1"/>
    <col min="6" max="8" width="12.8888888888889"/>
    <col min="9" max="9" width="19.7777777777778" customWidth="1"/>
    <col min="10" max="13" width="12.8888888888889"/>
    <col min="14" max="14" width="11.7777777777778"/>
  </cols>
  <sheetData>
    <row r="1" spans="1:15">
      <c r="A1" s="1" t="s">
        <v>9</v>
      </c>
      <c r="B1" s="1"/>
      <c r="C1" s="1"/>
      <c r="D1" s="2" t="s">
        <v>94</v>
      </c>
      <c r="E1" s="1" t="s">
        <v>10</v>
      </c>
      <c r="F1" s="1"/>
      <c r="G1" s="3" t="s">
        <v>180</v>
      </c>
      <c r="I1" t="s">
        <v>126</v>
      </c>
      <c r="O1" s="14" t="s">
        <v>116</v>
      </c>
    </row>
    <row r="2" spans="1:15">
      <c r="A2" s="4" t="s">
        <v>18</v>
      </c>
      <c r="B2" s="4"/>
      <c r="C2" s="4"/>
      <c r="D2" s="5">
        <v>235.5</v>
      </c>
      <c r="E2" s="4" t="s">
        <v>19</v>
      </c>
      <c r="F2" s="4"/>
      <c r="G2" s="6">
        <v>0.73</v>
      </c>
      <c r="I2" s="14" t="s">
        <v>127</v>
      </c>
      <c r="O2" s="14" t="s">
        <v>117</v>
      </c>
    </row>
    <row r="3" spans="1:15">
      <c r="A3" s="7" t="s">
        <v>26</v>
      </c>
      <c r="B3" s="7"/>
      <c r="C3" s="7"/>
      <c r="D3" s="5" t="s">
        <v>114</v>
      </c>
      <c r="E3" s="7" t="s">
        <v>27</v>
      </c>
      <c r="F3" s="7"/>
      <c r="G3" s="8" t="s">
        <v>115</v>
      </c>
      <c r="I3" s="14" t="s">
        <v>68</v>
      </c>
      <c r="O3" s="14" t="s">
        <v>118</v>
      </c>
    </row>
    <row r="4" spans="1:15">
      <c r="A4" s="7" t="s">
        <v>33</v>
      </c>
      <c r="B4" s="7"/>
      <c r="C4" s="7"/>
      <c r="D4" s="5">
        <f>120</f>
        <v>120</v>
      </c>
      <c r="E4" s="7" t="s">
        <v>34</v>
      </c>
      <c r="F4" s="7"/>
      <c r="G4" s="8">
        <f>0.43</f>
        <v>0.43</v>
      </c>
      <c r="I4" s="14" t="s">
        <v>128</v>
      </c>
      <c r="O4" s="14"/>
    </row>
    <row r="5" spans="1:9">
      <c r="A5" s="7" t="s">
        <v>36</v>
      </c>
      <c r="B5" s="7"/>
      <c r="C5" s="7"/>
      <c r="D5" s="5">
        <f>150/5</f>
        <v>30</v>
      </c>
      <c r="E5" s="7" t="s">
        <v>37</v>
      </c>
      <c r="F5" s="7"/>
      <c r="G5" s="8">
        <f>0.034+(0.18/5*0)</f>
        <v>0.034</v>
      </c>
      <c r="I5" s="14" t="s">
        <v>181</v>
      </c>
    </row>
    <row r="7" spans="1:9">
      <c r="A7" t="s">
        <v>66</v>
      </c>
      <c r="I7" t="s">
        <v>182</v>
      </c>
    </row>
    <row r="8" spans="1:9">
      <c r="A8" t="s">
        <v>68</v>
      </c>
      <c r="I8" t="s">
        <v>183</v>
      </c>
    </row>
    <row r="9" spans="1:9">
      <c r="A9" t="s">
        <v>69</v>
      </c>
      <c r="I9" t="s">
        <v>184</v>
      </c>
    </row>
    <row r="10" spans="1:9">
      <c r="A10" t="s">
        <v>70</v>
      </c>
      <c r="I10" t="s">
        <v>153</v>
      </c>
    </row>
    <row r="11" spans="1:1">
      <c r="A11" t="s">
        <v>71</v>
      </c>
    </row>
    <row r="13" spans="1:1">
      <c r="A13" t="s">
        <v>185</v>
      </c>
    </row>
    <row r="14" spans="1:1">
      <c r="A14" t="s">
        <v>186</v>
      </c>
    </row>
    <row r="15" spans="1:20">
      <c r="A15" t="s">
        <v>0</v>
      </c>
      <c r="B15" s="9">
        <v>1.5</v>
      </c>
      <c r="C15" s="10">
        <v>1.6</v>
      </c>
      <c r="D15" s="10">
        <v>1.8</v>
      </c>
      <c r="E15">
        <v>1.9</v>
      </c>
      <c r="F15">
        <v>2</v>
      </c>
      <c r="G15">
        <v>2.1</v>
      </c>
      <c r="H15">
        <v>2.2</v>
      </c>
      <c r="I15">
        <v>2.3</v>
      </c>
      <c r="J15">
        <v>2.4</v>
      </c>
      <c r="K15">
        <v>2.5</v>
      </c>
      <c r="L15" s="10">
        <v>2.7</v>
      </c>
      <c r="M15" t="s">
        <v>187</v>
      </c>
      <c r="N15">
        <v>83.4</v>
      </c>
      <c r="O15">
        <v>6.3</v>
      </c>
      <c r="Q15">
        <v>6.8</v>
      </c>
      <c r="R15">
        <v>17.6</v>
      </c>
      <c r="S15">
        <v>9.6</v>
      </c>
      <c r="T15">
        <v>7.2</v>
      </c>
    </row>
    <row r="16" spans="1:20">
      <c r="A16" t="s">
        <v>188</v>
      </c>
      <c r="B16">
        <v>39</v>
      </c>
      <c r="C16">
        <v>44</v>
      </c>
      <c r="D16">
        <v>47</v>
      </c>
      <c r="E16">
        <v>48</v>
      </c>
      <c r="F16">
        <v>50</v>
      </c>
      <c r="G16">
        <v>55</v>
      </c>
      <c r="H16">
        <v>55</v>
      </c>
      <c r="I16">
        <v>59</v>
      </c>
      <c r="J16">
        <v>61</v>
      </c>
      <c r="K16">
        <v>63</v>
      </c>
      <c r="L16">
        <v>71</v>
      </c>
      <c r="M16" t="s">
        <v>189</v>
      </c>
      <c r="N16">
        <v>120.8</v>
      </c>
      <c r="O16">
        <v>39.8</v>
      </c>
      <c r="P16">
        <v>32.1</v>
      </c>
      <c r="Q16">
        <v>40.3</v>
      </c>
      <c r="R16">
        <v>51.6</v>
      </c>
      <c r="S16">
        <v>43.2</v>
      </c>
      <c r="T16">
        <v>40.7</v>
      </c>
    </row>
    <row r="17" spans="1:10">
      <c r="A17" t="s">
        <v>125</v>
      </c>
      <c r="C17" t="s">
        <v>190</v>
      </c>
      <c r="E17" t="s">
        <v>191</v>
      </c>
      <c r="H17">
        <v>57</v>
      </c>
      <c r="I17" t="s">
        <v>192</v>
      </c>
      <c r="J17" t="s">
        <v>193</v>
      </c>
    </row>
    <row r="18" spans="2:12">
      <c r="B18">
        <f>B16/B15</f>
        <v>26</v>
      </c>
      <c r="C18">
        <f t="shared" ref="C18:L18" si="0">C16/C15</f>
        <v>27.5</v>
      </c>
      <c r="D18">
        <f t="shared" si="0"/>
        <v>26.1111111111111</v>
      </c>
      <c r="E18">
        <f t="shared" si="0"/>
        <v>25.2631578947368</v>
      </c>
      <c r="F18">
        <f t="shared" si="0"/>
        <v>25</v>
      </c>
      <c r="G18">
        <f t="shared" si="0"/>
        <v>26.1904761904762</v>
      </c>
      <c r="H18">
        <f t="shared" si="0"/>
        <v>25</v>
      </c>
      <c r="I18">
        <f t="shared" si="0"/>
        <v>25.6521739130435</v>
      </c>
      <c r="J18">
        <f t="shared" si="0"/>
        <v>25.4166666666667</v>
      </c>
      <c r="K18">
        <f t="shared" si="0"/>
        <v>25.2</v>
      </c>
      <c r="L18">
        <f t="shared" si="0"/>
        <v>26.2962962962963</v>
      </c>
    </row>
    <row r="19" spans="1:10">
      <c r="A19" t="s">
        <v>194</v>
      </c>
      <c r="C19">
        <f>45.5</f>
        <v>45.5</v>
      </c>
      <c r="E19">
        <v>49.4</v>
      </c>
      <c r="H19">
        <v>57.2</v>
      </c>
      <c r="I19">
        <v>60.1</v>
      </c>
      <c r="J19">
        <v>62.4</v>
      </c>
    </row>
    <row r="20" spans="3:10">
      <c r="C20">
        <f t="shared" ref="C20:J20" si="1">C19/C15</f>
        <v>28.4375</v>
      </c>
      <c r="E20">
        <f t="shared" si="1"/>
        <v>26</v>
      </c>
      <c r="H20">
        <f t="shared" si="1"/>
        <v>26</v>
      </c>
      <c r="I20">
        <f t="shared" si="1"/>
        <v>26.1304347826087</v>
      </c>
      <c r="J20">
        <f t="shared" si="1"/>
        <v>26</v>
      </c>
    </row>
    <row r="21" spans="1:10">
      <c r="A21" t="s">
        <v>195</v>
      </c>
      <c r="C21" t="s">
        <v>196</v>
      </c>
      <c r="D21" t="s">
        <v>197</v>
      </c>
      <c r="E21" t="s">
        <v>197</v>
      </c>
      <c r="H21">
        <v>96</v>
      </c>
      <c r="I21" t="s">
        <v>198</v>
      </c>
      <c r="J21" t="s">
        <v>199</v>
      </c>
    </row>
    <row r="22" spans="1:10">
      <c r="A22" t="s">
        <v>194</v>
      </c>
      <c r="C22">
        <v>73.5</v>
      </c>
      <c r="D22">
        <v>81.1</v>
      </c>
      <c r="E22">
        <v>82.5</v>
      </c>
      <c r="H22">
        <v>95.7</v>
      </c>
      <c r="I22">
        <v>100.1</v>
      </c>
      <c r="J22">
        <v>104.5</v>
      </c>
    </row>
    <row r="23" spans="1:10">
      <c r="A23" t="s">
        <v>200</v>
      </c>
      <c r="C23">
        <f>C22-C19</f>
        <v>28</v>
      </c>
      <c r="D23">
        <f>D22-26*1.8</f>
        <v>34.3</v>
      </c>
      <c r="E23">
        <f t="shared" ref="E23:J23" si="2">E22-E19</f>
        <v>33.1</v>
      </c>
      <c r="H23">
        <f>H22-H19</f>
        <v>38.5</v>
      </c>
      <c r="I23">
        <f t="shared" si="2"/>
        <v>40</v>
      </c>
      <c r="J23">
        <f t="shared" si="2"/>
        <v>42.1</v>
      </c>
    </row>
    <row r="24" spans="1:10">
      <c r="A24" t="s">
        <v>170</v>
      </c>
      <c r="C24">
        <f t="shared" ref="C24:H24" si="3">C23/200/C15</f>
        <v>0.0875</v>
      </c>
      <c r="D24">
        <f t="shared" si="3"/>
        <v>0.0952777777777778</v>
      </c>
      <c r="E24">
        <f t="shared" ref="E24:J24" si="4">E23/200/E15</f>
        <v>0.0871052631578947</v>
      </c>
      <c r="H24">
        <f t="shared" si="3"/>
        <v>0.0875</v>
      </c>
      <c r="I24">
        <f t="shared" si="4"/>
        <v>0.0869565217391304</v>
      </c>
      <c r="J24">
        <f t="shared" si="4"/>
        <v>0.0877083333333333</v>
      </c>
    </row>
    <row r="25" spans="1:5">
      <c r="A25" s="10" t="s">
        <v>201</v>
      </c>
      <c r="B25" s="10"/>
      <c r="C25" s="10"/>
      <c r="D25" s="10"/>
      <c r="E25" s="10"/>
    </row>
    <row r="26" spans="1:12">
      <c r="A26" t="s">
        <v>121</v>
      </c>
      <c r="B26" t="s">
        <v>87</v>
      </c>
      <c r="C26" t="s">
        <v>202</v>
      </c>
      <c r="E26" t="s">
        <v>203</v>
      </c>
      <c r="F26" t="s">
        <v>202</v>
      </c>
      <c r="H26" t="s">
        <v>204</v>
      </c>
      <c r="I26" t="s">
        <v>202</v>
      </c>
      <c r="K26" t="s">
        <v>205</v>
      </c>
      <c r="L26" t="s">
        <v>202</v>
      </c>
    </row>
    <row r="27" spans="2:12">
      <c r="B27" t="s">
        <v>206</v>
      </c>
      <c r="C27">
        <f>1.8*26+300*0.0875*1.8</f>
        <v>94.05</v>
      </c>
      <c r="E27" t="s">
        <v>206</v>
      </c>
      <c r="F27">
        <f>1.8*26+400*0.0875*1.8</f>
        <v>109.8</v>
      </c>
      <c r="H27" t="s">
        <v>206</v>
      </c>
      <c r="I27">
        <f>1.8*26+500*0.0875*1.8</f>
        <v>125.55</v>
      </c>
      <c r="K27" t="s">
        <v>206</v>
      </c>
      <c r="L27">
        <f>(1.8*26+344*0.095*1.8)*1.1</f>
        <v>116.1864</v>
      </c>
    </row>
    <row r="28" spans="2:13">
      <c r="B28" t="s">
        <v>125</v>
      </c>
      <c r="C28" t="s">
        <v>207</v>
      </c>
      <c r="D28">
        <v>98.1</v>
      </c>
      <c r="E28" t="s">
        <v>125</v>
      </c>
      <c r="F28" t="s">
        <v>208</v>
      </c>
      <c r="G28">
        <v>114.8</v>
      </c>
      <c r="H28" t="s">
        <v>125</v>
      </c>
      <c r="I28" t="s">
        <v>209</v>
      </c>
      <c r="J28">
        <v>131.8</v>
      </c>
      <c r="K28" t="s">
        <v>125</v>
      </c>
      <c r="L28" t="s">
        <v>210</v>
      </c>
      <c r="M28">
        <v>117.5</v>
      </c>
    </row>
    <row r="29" spans="2:13">
      <c r="B29" t="s">
        <v>200</v>
      </c>
      <c r="D29">
        <f>D28-26*1.8</f>
        <v>51.3</v>
      </c>
      <c r="G29">
        <f>G28-26*1.8</f>
        <v>68</v>
      </c>
      <c r="J29">
        <f>J28-26*1.8</f>
        <v>85</v>
      </c>
      <c r="M29">
        <f>M28/1.1-26*1.8</f>
        <v>60.0181818181818</v>
      </c>
    </row>
    <row r="30" spans="2:13">
      <c r="B30" t="s">
        <v>170</v>
      </c>
      <c r="D30">
        <f>D29/300/1.8</f>
        <v>0.095</v>
      </c>
      <c r="G30">
        <f>G29/400/1.8</f>
        <v>0.0944444444444444</v>
      </c>
      <c r="J30">
        <f>J29/500/1.8</f>
        <v>0.0944444444444444</v>
      </c>
      <c r="M30">
        <f>M29/344/1.8</f>
        <v>0.096928588207658</v>
      </c>
    </row>
    <row r="32" spans="1:7">
      <c r="A32" t="s">
        <v>101</v>
      </c>
      <c r="B32" t="s">
        <v>188</v>
      </c>
      <c r="C32" t="s">
        <v>108</v>
      </c>
      <c r="D32">
        <v>200</v>
      </c>
      <c r="E32">
        <v>300</v>
      </c>
      <c r="F32">
        <v>400</v>
      </c>
      <c r="G32">
        <v>500</v>
      </c>
    </row>
    <row r="33" spans="2:7">
      <c r="B33">
        <v>235.5</v>
      </c>
      <c r="C33">
        <v>234.89</v>
      </c>
      <c r="D33">
        <v>381.2</v>
      </c>
      <c r="E33">
        <v>455</v>
      </c>
      <c r="G33">
        <v>599.59</v>
      </c>
    </row>
    <row r="34" spans="4:7">
      <c r="D34">
        <f>(D33-B33)/D32</f>
        <v>0.7285</v>
      </c>
      <c r="E34">
        <f>E32*0.73+B33</f>
        <v>454.5</v>
      </c>
      <c r="G34">
        <f>G32*0.73+B33</f>
        <v>600.5</v>
      </c>
    </row>
    <row r="35" spans="1:9">
      <c r="A35" t="s">
        <v>211</v>
      </c>
      <c r="D35" t="s">
        <v>212</v>
      </c>
      <c r="E35">
        <v>613.375</v>
      </c>
      <c r="F35" t="s">
        <v>212</v>
      </c>
      <c r="G35">
        <v>760.22</v>
      </c>
      <c r="H35">
        <v>695.125</v>
      </c>
      <c r="I35" t="s">
        <v>213</v>
      </c>
    </row>
    <row r="36" spans="5:8">
      <c r="E36">
        <f>E35-E34</f>
        <v>158.875</v>
      </c>
      <c r="G36">
        <f>G35-G34</f>
        <v>159.72</v>
      </c>
      <c r="H36">
        <f>H35-G34</f>
        <v>94.625</v>
      </c>
    </row>
    <row r="37" spans="5:8">
      <c r="E37" s="11" t="s">
        <v>214</v>
      </c>
      <c r="G37">
        <f>G36/219</f>
        <v>0.729315068493151</v>
      </c>
      <c r="H37">
        <f>H36/127</f>
        <v>0.74507874015748</v>
      </c>
    </row>
    <row r="38" spans="1:1">
      <c r="A38" t="s">
        <v>215</v>
      </c>
    </row>
    <row r="39" spans="1:6">
      <c r="A39" t="s">
        <v>216</v>
      </c>
      <c r="C39" s="12" t="s">
        <v>217</v>
      </c>
      <c r="D39" s="12"/>
      <c r="E39" s="12" t="s">
        <v>218</v>
      </c>
      <c r="F39" s="12"/>
    </row>
    <row r="40" spans="3:6">
      <c r="C40" t="s">
        <v>206</v>
      </c>
      <c r="D40">
        <f>0.095*(219+300)*1.8+1.8*26</f>
        <v>135.549</v>
      </c>
      <c r="E40" t="s">
        <v>206</v>
      </c>
      <c r="F40">
        <f>0.095*(127+300)*1.8+1.8*26</f>
        <v>119.817</v>
      </c>
    </row>
    <row r="41" spans="3:6">
      <c r="C41" t="s">
        <v>125</v>
      </c>
      <c r="D41" t="s">
        <v>219</v>
      </c>
      <c r="E41" t="s">
        <v>125</v>
      </c>
      <c r="F41" s="13" t="s">
        <v>220</v>
      </c>
    </row>
    <row r="43" spans="1:12">
      <c r="A43" s="12" t="s">
        <v>81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4">
      <c r="A44" s="7" t="s">
        <v>26</v>
      </c>
      <c r="B44" s="7"/>
      <c r="C44" s="7"/>
      <c r="D44" s="5" t="s">
        <v>114</v>
      </c>
      <c r="E44" s="7" t="s">
        <v>27</v>
      </c>
      <c r="F44" s="7"/>
      <c r="G44" s="8" t="s">
        <v>115</v>
      </c>
      <c r="I44" t="s">
        <v>116</v>
      </c>
      <c r="N44" t="s">
        <v>221</v>
      </c>
    </row>
    <row r="45" spans="1:14">
      <c r="A45" s="7" t="s">
        <v>33</v>
      </c>
      <c r="B45" s="7"/>
      <c r="C45" s="7"/>
      <c r="D45" s="5">
        <f>120</f>
        <v>120</v>
      </c>
      <c r="E45" s="7" t="s">
        <v>34</v>
      </c>
      <c r="F45" s="7"/>
      <c r="G45" s="8">
        <f>0.43</f>
        <v>0.43</v>
      </c>
      <c r="I45" s="14" t="s">
        <v>117</v>
      </c>
      <c r="N45" t="s">
        <v>71</v>
      </c>
    </row>
    <row r="46" spans="1:14">
      <c r="A46" s="7" t="s">
        <v>36</v>
      </c>
      <c r="B46" s="7"/>
      <c r="C46" s="7"/>
      <c r="D46" s="5">
        <f>150/5</f>
        <v>30</v>
      </c>
      <c r="E46" s="7" t="s">
        <v>37</v>
      </c>
      <c r="F46" s="7"/>
      <c r="G46" s="8">
        <f>0.034+(0.18/5*0)</f>
        <v>0.034</v>
      </c>
      <c r="I46" s="14" t="s">
        <v>118</v>
      </c>
      <c r="N46" t="s">
        <v>222</v>
      </c>
    </row>
    <row r="47" spans="1:11">
      <c r="A47" t="s">
        <v>122</v>
      </c>
      <c r="B47" t="s">
        <v>0</v>
      </c>
      <c r="D47" t="s">
        <v>122</v>
      </c>
      <c r="E47" t="s">
        <v>0</v>
      </c>
      <c r="F47" t="s">
        <v>206</v>
      </c>
      <c r="G47" t="s">
        <v>223</v>
      </c>
      <c r="I47" s="14" t="s">
        <v>119</v>
      </c>
      <c r="J47" s="10"/>
      <c r="K47" s="10"/>
    </row>
    <row r="48" spans="1:12">
      <c r="A48">
        <v>0</v>
      </c>
      <c r="B48">
        <v>1.9</v>
      </c>
      <c r="D48">
        <v>500</v>
      </c>
      <c r="E48">
        <v>1.8</v>
      </c>
      <c r="I48" t="s">
        <v>224</v>
      </c>
      <c r="L48" t="s">
        <v>225</v>
      </c>
    </row>
    <row r="49" spans="1:12">
      <c r="A49" t="s">
        <v>76</v>
      </c>
      <c r="B49">
        <v>30</v>
      </c>
      <c r="D49">
        <v>47</v>
      </c>
      <c r="F49">
        <f>(30+0.034*$D$48)*J49</f>
        <v>47</v>
      </c>
      <c r="G49">
        <f>(D49-B49)/$D$48</f>
        <v>0.034</v>
      </c>
      <c r="J49">
        <v>1</v>
      </c>
      <c r="L49" t="s">
        <v>226</v>
      </c>
    </row>
    <row r="50" spans="1:12">
      <c r="A50" t="s">
        <v>85</v>
      </c>
      <c r="B50">
        <v>60</v>
      </c>
      <c r="D50">
        <v>94</v>
      </c>
      <c r="F50">
        <f>(30+0.034*$D$48)*J50</f>
        <v>94</v>
      </c>
      <c r="G50">
        <f>(D50-B50)/$D$48</f>
        <v>0.068</v>
      </c>
      <c r="H50">
        <f>$D$49*2</f>
        <v>94</v>
      </c>
      <c r="J50">
        <v>2</v>
      </c>
      <c r="L50" t="s">
        <v>227</v>
      </c>
    </row>
    <row r="51" spans="1:12">
      <c r="A51" t="s">
        <v>77</v>
      </c>
      <c r="B51">
        <v>90</v>
      </c>
      <c r="D51">
        <v>141</v>
      </c>
      <c r="F51">
        <f>(30+0.034*$D$48)*J51</f>
        <v>141</v>
      </c>
      <c r="G51">
        <f>(D51-B51)/$D$48</f>
        <v>0.102</v>
      </c>
      <c r="H51">
        <f>$D$49*3</f>
        <v>141</v>
      </c>
      <c r="J51">
        <v>3</v>
      </c>
      <c r="L51" t="s">
        <v>224</v>
      </c>
    </row>
    <row r="52" spans="1:10">
      <c r="A52" t="s">
        <v>78</v>
      </c>
      <c r="B52">
        <v>120</v>
      </c>
      <c r="D52">
        <v>188</v>
      </c>
      <c r="F52">
        <f>(30+0.034*$D$48)*J52</f>
        <v>188</v>
      </c>
      <c r="G52">
        <f>(D52-B52)/$D$48</f>
        <v>0.136</v>
      </c>
      <c r="H52">
        <f>$D$49*4</f>
        <v>188</v>
      </c>
      <c r="J52">
        <v>4</v>
      </c>
    </row>
    <row r="53" spans="1:10">
      <c r="A53" t="s">
        <v>79</v>
      </c>
      <c r="B53">
        <v>150</v>
      </c>
      <c r="D53">
        <v>235</v>
      </c>
      <c r="F53">
        <f>(30+0.034*$D$48)*J53</f>
        <v>235</v>
      </c>
      <c r="G53">
        <f>(D53-B53)/$D$48</f>
        <v>0.17</v>
      </c>
      <c r="H53">
        <f>$D$49*5</f>
        <v>235</v>
      </c>
      <c r="J53">
        <v>5</v>
      </c>
    </row>
    <row r="54" spans="1:6">
      <c r="A54" t="s">
        <v>81</v>
      </c>
      <c r="B54">
        <v>19</v>
      </c>
      <c r="D54">
        <v>28</v>
      </c>
      <c r="F54">
        <f>10*E48+E48/3.5*0.04*D48</f>
        <v>28.2857142857143</v>
      </c>
    </row>
    <row r="55" spans="1:6">
      <c r="A55" t="s">
        <v>82</v>
      </c>
      <c r="B55">
        <v>120</v>
      </c>
      <c r="D55">
        <v>334</v>
      </c>
      <c r="F55">
        <f>120*1+$G$45*$D$48</f>
        <v>335</v>
      </c>
    </row>
    <row r="56" spans="1:6">
      <c r="A56" t="s">
        <v>86</v>
      </c>
      <c r="B56">
        <v>240</v>
      </c>
      <c r="D56">
        <f>341+114</f>
        <v>455</v>
      </c>
      <c r="F56">
        <f>120*2+$G$45*$D$48</f>
        <v>455</v>
      </c>
    </row>
    <row r="57" spans="1:6">
      <c r="A57" t="s">
        <v>120</v>
      </c>
      <c r="B57">
        <v>360</v>
      </c>
      <c r="D57">
        <f>861/1.5</f>
        <v>574</v>
      </c>
      <c r="F57">
        <f>120*3+$G$45*$D$48</f>
        <v>575</v>
      </c>
    </row>
    <row r="58" spans="1:6">
      <c r="A58" t="s">
        <v>228</v>
      </c>
      <c r="B58">
        <v>480</v>
      </c>
      <c r="D58">
        <v>695</v>
      </c>
      <c r="F58">
        <f>120*4+$G$45*$D$48</f>
        <v>695</v>
      </c>
    </row>
    <row r="59" spans="1:6">
      <c r="A59" t="s">
        <v>80</v>
      </c>
      <c r="B59">
        <v>600</v>
      </c>
      <c r="D59">
        <v>815</v>
      </c>
      <c r="F59">
        <f>120*5+$G$45*$D$48</f>
        <v>815</v>
      </c>
    </row>
    <row r="60" spans="1:1">
      <c r="A60" t="s">
        <v>229</v>
      </c>
    </row>
    <row r="61" spans="1:2">
      <c r="A61" t="s">
        <v>122</v>
      </c>
      <c r="B61" t="s">
        <v>0</v>
      </c>
    </row>
    <row r="62" spans="1:2">
      <c r="A62">
        <v>344</v>
      </c>
      <c r="B62">
        <v>1.8</v>
      </c>
    </row>
    <row r="63" spans="2:5">
      <c r="B63" t="s">
        <v>230</v>
      </c>
      <c r="C63" t="s">
        <v>231</v>
      </c>
      <c r="E63" t="s">
        <v>232</v>
      </c>
    </row>
    <row r="64" spans="1:5">
      <c r="A64" t="s">
        <v>76</v>
      </c>
      <c r="B64">
        <f>(30+$G$46*$A$62)*J49</f>
        <v>41.696</v>
      </c>
      <c r="C64">
        <v>46</v>
      </c>
      <c r="E64">
        <f>C64/1.1</f>
        <v>41.8181818181818</v>
      </c>
    </row>
    <row r="65" spans="1:5">
      <c r="A65" t="s">
        <v>85</v>
      </c>
      <c r="B65">
        <f>(30+$G$46*$A$62)*J50</f>
        <v>83.392</v>
      </c>
      <c r="C65">
        <v>92</v>
      </c>
      <c r="E65">
        <f>C65/1.1</f>
        <v>83.6363636363636</v>
      </c>
    </row>
    <row r="66" spans="1:5">
      <c r="A66" t="s">
        <v>77</v>
      </c>
      <c r="B66">
        <f>(30+$G$46*$A$62)*J51</f>
        <v>125.088</v>
      </c>
      <c r="C66">
        <v>138</v>
      </c>
      <c r="E66">
        <f>C66/1.1</f>
        <v>125.454545454545</v>
      </c>
    </row>
    <row r="67" spans="1:5">
      <c r="A67" t="s">
        <v>78</v>
      </c>
      <c r="B67">
        <f>(30+$G$46*$A$62)*J52</f>
        <v>166.784</v>
      </c>
      <c r="C67">
        <v>183</v>
      </c>
      <c r="E67">
        <f>C67/1.1</f>
        <v>166.363636363636</v>
      </c>
    </row>
    <row r="68" spans="1:5">
      <c r="A68" t="s">
        <v>79</v>
      </c>
      <c r="B68">
        <f>(30+$G$46*$A$62)*J53</f>
        <v>208.48</v>
      </c>
      <c r="C68">
        <v>230</v>
      </c>
      <c r="E68">
        <f>C68/1.1</f>
        <v>209.090909090909</v>
      </c>
    </row>
    <row r="69" spans="1:3">
      <c r="A69" t="s">
        <v>81</v>
      </c>
      <c r="B69" s="15">
        <f>10*B62+B62/3.5*0.04*A62</f>
        <v>25.0765714285714</v>
      </c>
      <c r="C69">
        <v>25</v>
      </c>
    </row>
    <row r="70" spans="1:3">
      <c r="A70" t="s">
        <v>82</v>
      </c>
      <c r="B70">
        <f>120*J49+$G$45*$A$62</f>
        <v>267.92</v>
      </c>
      <c r="C70">
        <v>267</v>
      </c>
    </row>
    <row r="71" spans="1:3">
      <c r="A71" t="s">
        <v>86</v>
      </c>
      <c r="B71">
        <f>120*J50+$G$45*$A$62</f>
        <v>387.92</v>
      </c>
      <c r="C71">
        <v>388</v>
      </c>
    </row>
    <row r="72" spans="1:3">
      <c r="A72" t="s">
        <v>120</v>
      </c>
      <c r="B72">
        <f>120*J51+$G$45*$A$62</f>
        <v>507.92</v>
      </c>
      <c r="C72">
        <v>507</v>
      </c>
    </row>
    <row r="73" spans="1:3">
      <c r="A73" t="s">
        <v>228</v>
      </c>
      <c r="B73">
        <f>120*J52+$G$45*$A$62</f>
        <v>627.92</v>
      </c>
      <c r="C73">
        <v>628</v>
      </c>
    </row>
    <row r="74" spans="1:3">
      <c r="A74" t="s">
        <v>80</v>
      </c>
      <c r="B74">
        <f>120*J53+$G$45*$A$62</f>
        <v>747.92</v>
      </c>
      <c r="C74">
        <v>748</v>
      </c>
    </row>
    <row r="76" spans="1:9">
      <c r="A76" t="s">
        <v>113</v>
      </c>
      <c r="I76" t="s">
        <v>233</v>
      </c>
    </row>
    <row r="77" spans="1:9">
      <c r="A77" t="s">
        <v>122</v>
      </c>
      <c r="B77" t="s">
        <v>0</v>
      </c>
      <c r="D77">
        <v>219</v>
      </c>
      <c r="E77">
        <v>0.57</v>
      </c>
      <c r="I77" s="14" t="s">
        <v>234</v>
      </c>
    </row>
    <row r="78" spans="1:9">
      <c r="A78">
        <v>500</v>
      </c>
      <c r="B78">
        <v>1.8</v>
      </c>
      <c r="D78">
        <v>127</v>
      </c>
      <c r="I78" s="14" t="s">
        <v>235</v>
      </c>
    </row>
    <row r="79" spans="2:9">
      <c r="B79" t="s">
        <v>230</v>
      </c>
      <c r="C79" t="s">
        <v>231</v>
      </c>
      <c r="D79" t="s">
        <v>236</v>
      </c>
      <c r="F79" t="s">
        <v>237</v>
      </c>
      <c r="I79" s="14" t="s">
        <v>224</v>
      </c>
    </row>
    <row r="80" spans="1:9">
      <c r="A80" t="s">
        <v>76</v>
      </c>
      <c r="B80">
        <f>(30+$G$46*($A$78+$D$78))*J49</f>
        <v>51.318</v>
      </c>
      <c r="C80" t="s">
        <v>238</v>
      </c>
      <c r="D80">
        <v>51</v>
      </c>
      <c r="E80">
        <f>(30+$G$46*$A$78)*J49</f>
        <v>47</v>
      </c>
      <c r="F80">
        <f>D80-E80</f>
        <v>4</v>
      </c>
      <c r="I80" t="s">
        <v>239</v>
      </c>
    </row>
    <row r="81" spans="1:6">
      <c r="A81" t="s">
        <v>85</v>
      </c>
      <c r="B81">
        <f>(30+$G$46*($A$78+$D$78))*J50</f>
        <v>102.636</v>
      </c>
      <c r="C81" t="s">
        <v>207</v>
      </c>
      <c r="D81">
        <v>98</v>
      </c>
      <c r="E81">
        <f>(30+$G$46*$A$78)*J50</f>
        <v>94</v>
      </c>
      <c r="F81">
        <f>D81-E81</f>
        <v>4</v>
      </c>
    </row>
    <row r="82" spans="1:6">
      <c r="A82" t="s">
        <v>77</v>
      </c>
      <c r="B82">
        <f>(30+$G$46*($A$78+$D$78))*J51</f>
        <v>153.954</v>
      </c>
      <c r="C82" t="s">
        <v>240</v>
      </c>
      <c r="D82">
        <v>145</v>
      </c>
      <c r="E82">
        <f>(30+$G$46*$A$78)*J51</f>
        <v>141</v>
      </c>
      <c r="F82">
        <f>D82-E82</f>
        <v>4</v>
      </c>
    </row>
    <row r="83" spans="1:6">
      <c r="A83" t="s">
        <v>78</v>
      </c>
      <c r="B83">
        <f>(30+$G$46*($A$78+$D$78))*J52</f>
        <v>205.272</v>
      </c>
      <c r="C83">
        <v>192</v>
      </c>
      <c r="D83">
        <v>192</v>
      </c>
      <c r="E83">
        <f>(30+$G$46*$A$78)*J52</f>
        <v>188</v>
      </c>
      <c r="F83">
        <f>D83-E83</f>
        <v>4</v>
      </c>
    </row>
    <row r="84" spans="1:6">
      <c r="A84" t="s">
        <v>79</v>
      </c>
      <c r="B84">
        <f>(30+$G$46*($A$78+$D$78))*J53</f>
        <v>256.59</v>
      </c>
      <c r="C84">
        <v>239</v>
      </c>
      <c r="D84">
        <v>239</v>
      </c>
      <c r="E84">
        <f>(30+$G$46*$A$78)*J53</f>
        <v>235</v>
      </c>
      <c r="F84">
        <f>D84-E84</f>
        <v>4</v>
      </c>
    </row>
    <row r="85" spans="1:3">
      <c r="A85" t="s">
        <v>81</v>
      </c>
      <c r="B85" s="15">
        <f>10*B78+B78/3.5*0.04*(A78+$D$78)</f>
        <v>30.8982857142857</v>
      </c>
      <c r="C85" t="s">
        <v>241</v>
      </c>
    </row>
    <row r="86" spans="1:3">
      <c r="A86" t="s">
        <v>82</v>
      </c>
      <c r="B86">
        <f>120*J49+$G$45*($A$78+$D$78)</f>
        <v>389.61</v>
      </c>
      <c r="C86">
        <v>389</v>
      </c>
    </row>
    <row r="87" spans="1:3">
      <c r="A87" t="s">
        <v>86</v>
      </c>
      <c r="B87">
        <f>120*J50+$G$45*($A$78+$D$78)</f>
        <v>509.61</v>
      </c>
      <c r="C87">
        <v>509</v>
      </c>
    </row>
    <row r="88" spans="1:3">
      <c r="A88" t="s">
        <v>120</v>
      </c>
      <c r="B88">
        <f>120*J51+$G$45*($A$78+$D$78)</f>
        <v>629.61</v>
      </c>
      <c r="C88">
        <v>629</v>
      </c>
    </row>
    <row r="89" spans="1:3">
      <c r="A89" t="s">
        <v>228</v>
      </c>
      <c r="B89">
        <f>120*J52+$G$45*($A$78+$D$78)</f>
        <v>749.61</v>
      </c>
      <c r="C89">
        <v>749</v>
      </c>
    </row>
    <row r="90" spans="1:3">
      <c r="A90" t="s">
        <v>80</v>
      </c>
      <c r="B90">
        <f>120*J53+$G$45*($A$78+$D$78)</f>
        <v>869.61</v>
      </c>
      <c r="C90">
        <v>869</v>
      </c>
    </row>
    <row r="92" spans="1:4">
      <c r="A92" t="s">
        <v>122</v>
      </c>
      <c r="B92" t="s">
        <v>0</v>
      </c>
      <c r="D92">
        <v>219</v>
      </c>
    </row>
    <row r="93" spans="1:7">
      <c r="A93">
        <v>400</v>
      </c>
      <c r="B93">
        <v>1.8</v>
      </c>
      <c r="F93">
        <v>344</v>
      </c>
      <c r="G93">
        <v>219</v>
      </c>
    </row>
    <row r="94" spans="2:3">
      <c r="B94" t="s">
        <v>230</v>
      </c>
      <c r="C94" t="s">
        <v>231</v>
      </c>
    </row>
    <row r="95" spans="1:3">
      <c r="A95" t="s">
        <v>76</v>
      </c>
      <c r="B95">
        <f>(30+$A$93*$G$46)*J49+0.035*$D$92</f>
        <v>51.265</v>
      </c>
      <c r="C95">
        <v>51</v>
      </c>
    </row>
    <row r="96" spans="1:3">
      <c r="A96" t="s">
        <v>85</v>
      </c>
      <c r="B96">
        <f>(30+$A$93*$G$46)*J50+0.035*$D$92</f>
        <v>94.865</v>
      </c>
      <c r="C96">
        <v>94</v>
      </c>
    </row>
    <row r="97" spans="1:3">
      <c r="A97" t="s">
        <v>77</v>
      </c>
      <c r="B97">
        <f>(30+$A$93*$G$46)*J51+0.035*$D$92</f>
        <v>138.465</v>
      </c>
      <c r="C97">
        <v>138</v>
      </c>
    </row>
    <row r="98" spans="1:3">
      <c r="A98" t="s">
        <v>78</v>
      </c>
      <c r="B98">
        <f>(30+$A$93*$G$46)*J52+0.035*$D$92</f>
        <v>182.065</v>
      </c>
      <c r="C98">
        <v>182</v>
      </c>
    </row>
    <row r="99" spans="1:3">
      <c r="A99" t="s">
        <v>79</v>
      </c>
      <c r="B99">
        <f>(30+$A$93*$G$46)*J53+0.035*$D$92</f>
        <v>225.665</v>
      </c>
      <c r="C99">
        <v>225</v>
      </c>
    </row>
    <row r="100" spans="1:3">
      <c r="A100" t="s">
        <v>81</v>
      </c>
      <c r="B100">
        <f>10*B93+B93/3.5*0.04*(A93+D92)</f>
        <v>30.7337142857143</v>
      </c>
      <c r="C100" t="s">
        <v>241</v>
      </c>
    </row>
    <row r="101" spans="1:3">
      <c r="A101" t="s">
        <v>82</v>
      </c>
      <c r="B101">
        <f>120*J49+$G$45*($A$93+$D$92)</f>
        <v>386.17</v>
      </c>
      <c r="C101">
        <v>386</v>
      </c>
    </row>
    <row r="102" spans="1:3">
      <c r="A102" t="s">
        <v>86</v>
      </c>
      <c r="B102">
        <f>120*J50+$G$45*($A$93+$D$92)</f>
        <v>506.17</v>
      </c>
      <c r="C102">
        <v>506</v>
      </c>
    </row>
    <row r="103" spans="1:3">
      <c r="A103" t="s">
        <v>120</v>
      </c>
      <c r="B103">
        <f>120*J51+$G$45*($A$93+$D$92)</f>
        <v>626.17</v>
      </c>
      <c r="C103">
        <v>626</v>
      </c>
    </row>
    <row r="104" spans="1:3">
      <c r="A104" t="s">
        <v>228</v>
      </c>
      <c r="B104">
        <f>120*J52+$G$45*($A$93+$D$92)</f>
        <v>746.17</v>
      </c>
      <c r="C104">
        <v>746</v>
      </c>
    </row>
    <row r="105" spans="1:3">
      <c r="A105" t="s">
        <v>80</v>
      </c>
      <c r="B105">
        <f>120*J53+$G$45*($A$93+$D$92)</f>
        <v>866.17</v>
      </c>
      <c r="C105">
        <v>866</v>
      </c>
    </row>
    <row r="107" spans="3:3">
      <c r="C107" t="s">
        <v>242</v>
      </c>
    </row>
    <row r="109" spans="1:11">
      <c r="A109" s="12" t="s">
        <v>243</v>
      </c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7">
      <c r="A110" s="16" t="s">
        <v>9</v>
      </c>
      <c r="B110" s="16"/>
      <c r="C110" s="17" t="s">
        <v>244</v>
      </c>
      <c r="D110" s="18"/>
      <c r="E110" s="1" t="s">
        <v>10</v>
      </c>
      <c r="F110" s="1"/>
      <c r="G110" s="3" t="s">
        <v>180</v>
      </c>
    </row>
    <row r="111" spans="1:7">
      <c r="A111" t="s">
        <v>245</v>
      </c>
      <c r="B111" s="19"/>
      <c r="C111" s="19"/>
      <c r="D111" s="19"/>
      <c r="E111" s="19"/>
      <c r="F111" s="19"/>
      <c r="G111" s="19"/>
    </row>
    <row r="112" spans="1:7">
      <c r="A112" t="s">
        <v>246</v>
      </c>
      <c r="B112" s="19"/>
      <c r="C112" s="20" t="s">
        <v>244</v>
      </c>
      <c r="D112" s="19"/>
      <c r="E112" s="19"/>
      <c r="F112" s="21" t="s">
        <v>10</v>
      </c>
      <c r="G112" s="19"/>
    </row>
    <row r="113" spans="1:7">
      <c r="A113" t="s">
        <v>122</v>
      </c>
      <c r="B113" s="19">
        <v>0</v>
      </c>
      <c r="C113" s="19"/>
      <c r="D113" s="19"/>
      <c r="E113" s="19"/>
      <c r="F113" s="19"/>
      <c r="G113" s="19"/>
    </row>
    <row r="114" spans="1:6">
      <c r="A114" t="s">
        <v>247</v>
      </c>
      <c r="B114">
        <v>83.4</v>
      </c>
      <c r="C114">
        <v>6.3</v>
      </c>
      <c r="D114">
        <v>6.8</v>
      </c>
      <c r="E114">
        <v>17.6</v>
      </c>
      <c r="F114">
        <v>9.6</v>
      </c>
    </row>
    <row r="115" spans="1:6">
      <c r="A115" t="s">
        <v>0</v>
      </c>
      <c r="B115">
        <v>1.6</v>
      </c>
      <c r="C115">
        <v>1.9</v>
      </c>
      <c r="D115">
        <v>2.2</v>
      </c>
      <c r="E115">
        <v>2.3</v>
      </c>
      <c r="F115">
        <v>2.4</v>
      </c>
    </row>
    <row r="116" spans="1:6">
      <c r="A116" t="s">
        <v>206</v>
      </c>
      <c r="B116">
        <f>25.75*B115+B114*B115*0.03</f>
        <v>45.2032</v>
      </c>
      <c r="C116">
        <f t="shared" ref="C116:G116" si="5">25.75*C115+C114*C115*0.03</f>
        <v>49.2841</v>
      </c>
      <c r="D116">
        <f t="shared" si="5"/>
        <v>57.0988</v>
      </c>
      <c r="E116">
        <f t="shared" si="5"/>
        <v>60.4394</v>
      </c>
      <c r="F116">
        <f t="shared" si="5"/>
        <v>62.4912</v>
      </c>
    </row>
    <row r="117" spans="1:6">
      <c r="A117" t="s">
        <v>125</v>
      </c>
      <c r="B117" s="22" t="s">
        <v>248</v>
      </c>
      <c r="C117" s="23" t="s">
        <v>191</v>
      </c>
      <c r="D117" s="23" t="s">
        <v>249</v>
      </c>
      <c r="E117" s="23" t="s">
        <v>192</v>
      </c>
      <c r="F117" s="23" t="s">
        <v>193</v>
      </c>
    </row>
    <row r="118" spans="1:1">
      <c r="A118" t="s">
        <v>250</v>
      </c>
    </row>
    <row r="119" spans="1:7">
      <c r="A119" t="s">
        <v>122</v>
      </c>
      <c r="B119" s="19">
        <v>200</v>
      </c>
      <c r="C119" s="19"/>
      <c r="D119" s="19"/>
      <c r="E119" s="19"/>
      <c r="F119" s="19"/>
      <c r="G119" t="s">
        <v>251</v>
      </c>
    </row>
    <row r="120" spans="1:6">
      <c r="A120" t="s">
        <v>247</v>
      </c>
      <c r="B120">
        <v>83.4</v>
      </c>
      <c r="C120">
        <v>6.3</v>
      </c>
      <c r="D120">
        <v>6.8</v>
      </c>
      <c r="E120">
        <v>17.6</v>
      </c>
      <c r="F120">
        <v>9.6</v>
      </c>
    </row>
    <row r="121" spans="1:6">
      <c r="A121" t="s">
        <v>0</v>
      </c>
      <c r="B121">
        <v>1.6</v>
      </c>
      <c r="C121">
        <v>1.9</v>
      </c>
      <c r="D121">
        <v>2.2</v>
      </c>
      <c r="E121">
        <v>2.3</v>
      </c>
      <c r="F121">
        <v>2.4</v>
      </c>
    </row>
    <row r="122" spans="1:6">
      <c r="A122" t="s">
        <v>206</v>
      </c>
      <c r="B122">
        <f>25.75*B121+B120*B121*0.03+$B$119*B121*0.088</f>
        <v>73.3632</v>
      </c>
      <c r="C122">
        <f>25.75*C121+C120*C121*0.03+$B$119*C121*0.088</f>
        <v>82.7241</v>
      </c>
      <c r="D122">
        <f>25.75*D121+D120*D121*0.03+$B$119*D121*0.088</f>
        <v>95.8188</v>
      </c>
      <c r="E122">
        <f>25.75*E121+E120*E121*0.03+$B$119*E121*0.088</f>
        <v>100.9194</v>
      </c>
      <c r="F122">
        <f>25.75*F121+F120*F121*0.03+$B$119*F121*0.088</f>
        <v>104.7312</v>
      </c>
    </row>
    <row r="123" spans="1:6">
      <c r="A123" t="s">
        <v>125</v>
      </c>
      <c r="B123" s="24" t="s">
        <v>196</v>
      </c>
      <c r="C123" s="23" t="s">
        <v>197</v>
      </c>
      <c r="D123" s="24">
        <v>96</v>
      </c>
      <c r="E123" s="24" t="s">
        <v>252</v>
      </c>
      <c r="F123" s="23" t="s">
        <v>199</v>
      </c>
    </row>
    <row r="124" spans="1:6">
      <c r="A124" t="s">
        <v>250</v>
      </c>
      <c r="B124">
        <v>73.5</v>
      </c>
      <c r="C124">
        <v>82.8</v>
      </c>
      <c r="D124">
        <v>96</v>
      </c>
      <c r="E124">
        <v>100.9</v>
      </c>
      <c r="F124">
        <v>104.5</v>
      </c>
    </row>
    <row r="125" spans="1:6">
      <c r="A125" t="s">
        <v>253</v>
      </c>
      <c r="B125">
        <f>B124-B116</f>
        <v>28.2968</v>
      </c>
      <c r="C125">
        <f>C124-C116</f>
        <v>33.5159</v>
      </c>
      <c r="D125">
        <f>D124-D116</f>
        <v>38.9012</v>
      </c>
      <c r="E125">
        <f>E124-E116</f>
        <v>40.4606</v>
      </c>
      <c r="F125">
        <f>F124-F116</f>
        <v>42.0088</v>
      </c>
    </row>
    <row r="126" spans="2:7">
      <c r="B126">
        <f>B125/$B$119/B121</f>
        <v>0.0884275</v>
      </c>
      <c r="C126">
        <f>C125/$B$119/C121</f>
        <v>0.0881997368421053</v>
      </c>
      <c r="D126">
        <f>D125/$B$119/D121</f>
        <v>0.0884118181818182</v>
      </c>
      <c r="E126">
        <f>E125/$B$119/E121</f>
        <v>0.0879578260869566</v>
      </c>
      <c r="F126">
        <f>F125/$B$119/F121</f>
        <v>0.0875183333333333</v>
      </c>
      <c r="G126" t="s">
        <v>254</v>
      </c>
    </row>
    <row r="128" spans="1:1">
      <c r="A128" t="s">
        <v>121</v>
      </c>
    </row>
    <row r="129" spans="1:13">
      <c r="A129" t="s">
        <v>122</v>
      </c>
      <c r="B129" s="25">
        <v>500</v>
      </c>
      <c r="C129">
        <v>400</v>
      </c>
      <c r="D129">
        <v>456</v>
      </c>
      <c r="E129">
        <v>200</v>
      </c>
      <c r="G129">
        <v>344</v>
      </c>
      <c r="I129">
        <v>101</v>
      </c>
      <c r="K129">
        <v>177</v>
      </c>
      <c r="M129">
        <v>360</v>
      </c>
    </row>
    <row r="130" spans="1:13">
      <c r="A130" t="s">
        <v>247</v>
      </c>
      <c r="B130">
        <v>47.5</v>
      </c>
      <c r="C130">
        <v>41.4</v>
      </c>
      <c r="D130">
        <v>41.3</v>
      </c>
      <c r="E130">
        <v>41.4</v>
      </c>
      <c r="G130">
        <v>47.5</v>
      </c>
      <c r="I130">
        <v>83.4</v>
      </c>
      <c r="K130">
        <v>41.4</v>
      </c>
      <c r="M130">
        <v>41.7</v>
      </c>
    </row>
    <row r="131" spans="1:13">
      <c r="A131" t="s">
        <v>0</v>
      </c>
      <c r="B131">
        <v>1.8</v>
      </c>
      <c r="C131">
        <v>1.8</v>
      </c>
      <c r="D131">
        <v>2.7</v>
      </c>
      <c r="E131">
        <v>1.8</v>
      </c>
      <c r="G131">
        <v>1.8</v>
      </c>
      <c r="I131">
        <v>1.6</v>
      </c>
      <c r="K131">
        <v>1.8</v>
      </c>
      <c r="M131">
        <v>2.1</v>
      </c>
    </row>
    <row r="132" spans="1:13">
      <c r="A132" t="s">
        <v>255</v>
      </c>
      <c r="B132">
        <f t="shared" ref="B132:G132" si="6">25.75*B131+B130*B131*0.03</f>
        <v>48.915</v>
      </c>
      <c r="C132">
        <f t="shared" si="6"/>
        <v>48.5856</v>
      </c>
      <c r="D132">
        <f t="shared" si="6"/>
        <v>72.8703</v>
      </c>
      <c r="E132">
        <f t="shared" si="6"/>
        <v>48.5856</v>
      </c>
      <c r="G132">
        <f t="shared" si="6"/>
        <v>48.915</v>
      </c>
      <c r="H132">
        <f>G132+G129*G131/1.6*0.088</f>
        <v>82.971</v>
      </c>
      <c r="I132">
        <f t="shared" ref="I132:M132" si="7">25.75*I131+I130*I131*0.03</f>
        <v>45.2032</v>
      </c>
      <c r="K132">
        <f t="shared" si="7"/>
        <v>48.5856</v>
      </c>
      <c r="M132">
        <f t="shared" si="7"/>
        <v>56.7021</v>
      </c>
    </row>
    <row r="133" spans="1:14">
      <c r="A133" t="s">
        <v>206</v>
      </c>
      <c r="B133">
        <f t="shared" ref="B133:G133" si="8">25.75*B131+B130*B131*0.03+0.092*B131*B129</f>
        <v>131.715</v>
      </c>
      <c r="C133">
        <f t="shared" si="8"/>
        <v>114.8256</v>
      </c>
      <c r="D133">
        <f t="shared" si="8"/>
        <v>186.1407</v>
      </c>
      <c r="E133">
        <f t="shared" si="8"/>
        <v>81.7056</v>
      </c>
      <c r="G133">
        <f>25.75*G131+G130*G131*0.03+0.0935*G131*G129</f>
        <v>106.8102</v>
      </c>
      <c r="H133">
        <f t="shared" ref="H133:L133" si="9">G133*1.1*1.05</f>
        <v>123.365781</v>
      </c>
      <c r="I133">
        <f>25.75*I131+I130*I131*0.03+0.088*I131*I129</f>
        <v>59.424</v>
      </c>
      <c r="J133">
        <f t="shared" si="9"/>
        <v>68.63472</v>
      </c>
      <c r="K133">
        <f>26.5*K131+K130*K131*0.03+0.088*K131*K129</f>
        <v>77.9724</v>
      </c>
      <c r="L133">
        <f t="shared" si="9"/>
        <v>90.058122</v>
      </c>
      <c r="M133">
        <f>25.75*M131+M130*M131*0.03+0.093*M131*M129</f>
        <v>127.0101</v>
      </c>
      <c r="N133">
        <f>M133*1.05</f>
        <v>133.360605</v>
      </c>
    </row>
    <row r="134" spans="1:13">
      <c r="A134" t="s">
        <v>125</v>
      </c>
      <c r="B134" s="24" t="s">
        <v>256</v>
      </c>
      <c r="C134" t="s">
        <v>208</v>
      </c>
      <c r="D134" t="s">
        <v>257</v>
      </c>
      <c r="E134" t="s">
        <v>197</v>
      </c>
      <c r="G134" t="s">
        <v>136</v>
      </c>
      <c r="I134" t="s">
        <v>258</v>
      </c>
      <c r="K134" s="13" t="s">
        <v>259</v>
      </c>
      <c r="M134" t="s">
        <v>209</v>
      </c>
    </row>
    <row r="135" spans="1:13">
      <c r="A135" t="s">
        <v>250</v>
      </c>
      <c r="B135">
        <v>131.9</v>
      </c>
      <c r="C135">
        <v>114.5</v>
      </c>
      <c r="D135">
        <v>186.5</v>
      </c>
      <c r="E135">
        <v>82.1</v>
      </c>
      <c r="G135">
        <f>123.5/1.05/1.1-G132</f>
        <v>58.0114069264069</v>
      </c>
      <c r="I135">
        <f>68.5/1.1/1.05-I132</f>
        <v>14.1041593073593</v>
      </c>
      <c r="K135">
        <f>90.9/1.1/1.05-K132</f>
        <v>30.1156987012987</v>
      </c>
      <c r="M135">
        <f>131.5/1.05-M132</f>
        <v>68.5359952380952</v>
      </c>
    </row>
    <row r="136" spans="1:13">
      <c r="A136" t="s">
        <v>253</v>
      </c>
      <c r="B136">
        <f>B135-B132</f>
        <v>82.985</v>
      </c>
      <c r="C136">
        <f>C135-C132</f>
        <v>65.9144</v>
      </c>
      <c r="D136">
        <f>D135-D132</f>
        <v>113.6297</v>
      </c>
      <c r="E136">
        <f>E135-E132</f>
        <v>33.5144</v>
      </c>
      <c r="G136">
        <f t="shared" ref="G136:K136" si="10">G135/G131</f>
        <v>32.2285594035594</v>
      </c>
      <c r="I136">
        <f t="shared" si="10"/>
        <v>8.81509956709956</v>
      </c>
      <c r="K136">
        <f t="shared" si="10"/>
        <v>16.7309437229437</v>
      </c>
      <c r="M136">
        <f>M135/M131</f>
        <v>32.6361882086168</v>
      </c>
    </row>
    <row r="137" spans="2:5">
      <c r="B137">
        <f>B136/B131</f>
        <v>46.1027777777778</v>
      </c>
      <c r="C137">
        <f>C136/C131</f>
        <v>36.6191111111111</v>
      </c>
      <c r="D137">
        <f>D136/D131</f>
        <v>42.0850740740741</v>
      </c>
      <c r="E137">
        <f>E136/E131</f>
        <v>18.6191111111111</v>
      </c>
    </row>
    <row r="139" spans="2:3">
      <c r="B139" t="s">
        <v>122</v>
      </c>
      <c r="C139" t="s">
        <v>260</v>
      </c>
    </row>
    <row r="140" spans="2:4">
      <c r="B140">
        <v>200</v>
      </c>
      <c r="C140">
        <v>17.6</v>
      </c>
      <c r="D140">
        <f>C140/B140</f>
        <v>0.088</v>
      </c>
    </row>
    <row r="141" spans="2:4">
      <c r="B141">
        <v>500</v>
      </c>
      <c r="C141">
        <v>46.1</v>
      </c>
      <c r="D141">
        <f t="shared" ref="D141:D148" si="11">C141/B141</f>
        <v>0.0922</v>
      </c>
    </row>
    <row r="142" spans="2:4">
      <c r="B142">
        <v>400</v>
      </c>
      <c r="C142">
        <v>36.6</v>
      </c>
      <c r="D142">
        <f t="shared" si="11"/>
        <v>0.0915</v>
      </c>
    </row>
    <row r="143" spans="2:4">
      <c r="B143">
        <v>456</v>
      </c>
      <c r="C143">
        <v>42.1</v>
      </c>
      <c r="D143">
        <f t="shared" si="11"/>
        <v>0.0923245614035088</v>
      </c>
    </row>
    <row r="144" spans="2:4">
      <c r="B144">
        <v>200</v>
      </c>
      <c r="D144">
        <f t="shared" si="11"/>
        <v>0</v>
      </c>
    </row>
    <row r="145" spans="2:4">
      <c r="B145">
        <v>344</v>
      </c>
      <c r="C145">
        <v>32.2</v>
      </c>
      <c r="D145">
        <f t="shared" si="11"/>
        <v>0.0936046511627907</v>
      </c>
    </row>
    <row r="146" spans="2:4">
      <c r="B146">
        <v>101</v>
      </c>
      <c r="C146">
        <v>8.8</v>
      </c>
      <c r="D146">
        <f t="shared" si="11"/>
        <v>0.0871287128712871</v>
      </c>
    </row>
    <row r="147" spans="2:4">
      <c r="B147">
        <v>177</v>
      </c>
      <c r="C147">
        <v>16.7</v>
      </c>
      <c r="D147">
        <f t="shared" si="11"/>
        <v>0.0943502824858757</v>
      </c>
    </row>
    <row r="148" spans="2:4">
      <c r="B148">
        <v>360</v>
      </c>
      <c r="C148">
        <v>32.6</v>
      </c>
      <c r="D148">
        <f t="shared" si="11"/>
        <v>0.0905555555555556</v>
      </c>
    </row>
  </sheetData>
  <mergeCells count="22">
    <mergeCell ref="A1:C1"/>
    <mergeCell ref="E1:F1"/>
    <mergeCell ref="A2:C2"/>
    <mergeCell ref="E2:F2"/>
    <mergeCell ref="A3:C3"/>
    <mergeCell ref="E3:F3"/>
    <mergeCell ref="A4:C4"/>
    <mergeCell ref="E4:F4"/>
    <mergeCell ref="A5:C5"/>
    <mergeCell ref="E5:F5"/>
    <mergeCell ref="C39:D39"/>
    <mergeCell ref="E39:F39"/>
    <mergeCell ref="A43:L43"/>
    <mergeCell ref="A44:C44"/>
    <mergeCell ref="E44:F44"/>
    <mergeCell ref="A45:C45"/>
    <mergeCell ref="E45:F45"/>
    <mergeCell ref="A46:C46"/>
    <mergeCell ref="E46:F46"/>
    <mergeCell ref="A109:K109"/>
    <mergeCell ref="C110:D110"/>
    <mergeCell ref="E110:F1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Sheet2</vt:lpstr>
      <vt:lpstr>Sheet2 (2)</vt:lpstr>
      <vt:lpstr>测试记录（疑似受2T4效果污染）</vt:lpstr>
      <vt:lpstr>模拟页面</vt:lpstr>
      <vt:lpstr>新测试记录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JiangShengChao</dc:creator>
  <cp:lastModifiedBy>JiangShengChao</cp:lastModifiedBy>
  <dcterms:created xsi:type="dcterms:W3CDTF">2021-08-04T04:14:00Z</dcterms:created>
  <dcterms:modified xsi:type="dcterms:W3CDTF">2021-08-09T13:06:39Z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